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485" tabRatio="732" firstSheet="1" activeTab="1"/>
  </bookViews>
  <sheets>
    <sheet name="PLANILHA" sheetId="1" state="hidden" r:id="rId1"/>
    <sheet name="PLAN ORÇ" sheetId="2" r:id="rId2"/>
    <sheet name="MEMORIA DE CÁLCULO" sheetId="3" r:id="rId3"/>
    <sheet name="CRONOGRAMA " sheetId="4" r:id="rId4"/>
    <sheet name="CPU - COMPLEMENTARES" sheetId="5" state="hidden" r:id="rId5"/>
    <sheet name="Memo" sheetId="6" state="hidden" r:id="rId6"/>
    <sheet name="ANEXO QCI" sheetId="7" state="hidden" r:id="rId7"/>
    <sheet name="BDI-SERVIÇOS" sheetId="8" r:id="rId8"/>
    <sheet name="CPU" sheetId="9" state="hidden" r:id="rId9"/>
    <sheet name="DMTs" sheetId="10" state="hidden" r:id="rId10"/>
  </sheets>
  <externalReferences>
    <externalReference r:id="rId13"/>
  </externalReferences>
  <definedNames>
    <definedName name="_xlfn._FV" hidden="1">#NAME?</definedName>
    <definedName name="_xlnm.Print_Area" localSheetId="7">'BDI-SERVIÇOS'!$A$1:$I$21</definedName>
    <definedName name="_xlnm.Print_Area" localSheetId="4">'CPU - COMPLEMENTARES'!$A$1:$I$88</definedName>
    <definedName name="_xlnm.Print_Area" localSheetId="3">'CRONOGRAMA '!$A$1:$G$28</definedName>
    <definedName name="_xlnm.Print_Area" localSheetId="5">'Memo'!$A$1:$G$22</definedName>
    <definedName name="_xlnm.Print_Area" localSheetId="2">'MEMORIA DE CÁLCULO'!$A$5:$H$122</definedName>
    <definedName name="_xlnm.Print_Area" localSheetId="0">'PLANILHA'!$B$2:$AN$96</definedName>
    <definedName name="_xlnm.Print_Titles" localSheetId="0">'PLANILHA'!$1:$29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W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X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DECORRER DO PASSEIO</t>
        </r>
      </text>
    </comment>
    <comment ref="V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ACOMPANHANDO O PISO DIRECIONAL
UTILIZADO EM OBSTACULOS NO PASSEIO </t>
        </r>
      </text>
    </comment>
    <comment ref="W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ACOMPNANDO O PISO DIRECIONAL
UTILIZADO EM OBSTACULOS NO PASSEIO </t>
        </r>
      </text>
    </comment>
    <comment ref="X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UTILIZADO NO MEIO DA RAMPA  ENA PARTE SUPERIOR DA RAMPA ACOMPNANDO O PISO DIRECIONAL
UTILIZADO EM OBSTACULOS NO PASSEIO </t>
        </r>
      </text>
    </comment>
  </commentList>
</comments>
</file>

<file path=xl/comments4.xml><?xml version="1.0" encoding="utf-8"?>
<comments xmlns="http://schemas.openxmlformats.org/spreadsheetml/2006/main">
  <authors>
    <author>Profissional</author>
  </authors>
  <commentList>
    <comment ref="D5" authorId="0">
      <text>
        <r>
          <rPr>
            <b/>
            <sz val="9"/>
            <rFont val="Segoe UI"/>
            <family val="2"/>
          </rPr>
          <t>Profissional: Lançar o Valor total de cada etapa na celula correspondente ao "FINANCEIRO"</t>
        </r>
        <r>
          <rPr>
            <sz val="9"/>
            <rFont val="Segoe UI"/>
            <family val="2"/>
          </rPr>
          <t xml:space="preserve">
</t>
        </r>
      </text>
    </comment>
    <comment ref="E5" authorId="0">
      <text>
        <r>
          <rPr>
            <b/>
            <sz val="9"/>
            <rFont val="Segoe UI"/>
            <family val="2"/>
          </rPr>
          <t>Profissional: Lançar a % de medição do mês em "FISICO" de cada etapa</t>
        </r>
      </text>
    </comment>
    <comment ref="F5" authorId="0">
      <text>
        <r>
          <rPr>
            <b/>
            <sz val="9"/>
            <rFont val="Segoe UI"/>
            <family val="2"/>
          </rPr>
          <t>Profissional: Lançar a % de medição do mês em "FISICO" de cada etapa"</t>
        </r>
        <r>
          <rPr>
            <sz val="9"/>
            <rFont val="Segoe UI"/>
            <family val="2"/>
          </rPr>
          <t xml:space="preserve">
</t>
        </r>
      </text>
    </comment>
    <comment ref="G5" authorId="0">
      <text>
        <r>
          <rPr>
            <b/>
            <sz val="9"/>
            <rFont val="Segoe UI"/>
            <family val="2"/>
          </rPr>
          <t>Profissional: Lançar a % de medição do mês em "FISICO" de cada etapa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Marcio</author>
  </authors>
  <commentList>
    <comment ref="H8" authorId="0">
      <text>
        <r>
          <rPr>
            <b/>
            <sz val="9"/>
            <rFont val="Segoe UI"/>
            <family val="2"/>
          </rPr>
          <t>Marcio:</t>
        </r>
        <r>
          <rPr>
            <sz val="9"/>
            <rFont val="Segoe UI"/>
            <family val="2"/>
          </rPr>
          <t xml:space="preserve">
SEMPRE LIGAR PARA O MUNICIPIO E VER O CÓDIGO TRIBUTÁRIO QUAL  É A BASE DE CÁLCULO DO ISS. (SE É 100% OU 50% COMO BASE DE CÁLCULO)</t>
        </r>
      </text>
    </comment>
    <comment ref="H9" authorId="0">
      <text>
        <r>
          <rPr>
            <b/>
            <sz val="9"/>
            <rFont val="Segoe UI"/>
            <family val="2"/>
          </rPr>
          <t>Marcio:</t>
        </r>
        <r>
          <rPr>
            <sz val="9"/>
            <rFont val="Segoe UI"/>
            <family val="2"/>
          </rPr>
          <t xml:space="preserve">
COM DESONERAÇÃO INSERIR 4,5% E SEM A DESONERAÇÃO 0,0%</t>
        </r>
      </text>
    </comment>
  </commentList>
</comments>
</file>

<file path=xl/sharedStrings.xml><?xml version="1.0" encoding="utf-8"?>
<sst xmlns="http://schemas.openxmlformats.org/spreadsheetml/2006/main" count="1069" uniqueCount="457">
  <si>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</si>
  <si>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</si>
  <si>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</si>
  <si>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</si>
  <si>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</si>
  <si>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</si>
  <si>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</si>
  <si>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</si>
  <si>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</si>
  <si>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Programa</t>
  </si>
  <si>
    <t>Município</t>
  </si>
  <si>
    <t>UF</t>
  </si>
  <si>
    <t>Empreendimento ( Nome/Apelido)</t>
  </si>
  <si>
    <t>CREA:</t>
  </si>
  <si>
    <t>até</t>
  </si>
  <si>
    <t xml:space="preserve">De </t>
  </si>
  <si>
    <t>Intervalos admissíveis sem justificativa</t>
  </si>
  <si>
    <t>Gestor (Ministério)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</si>
  <si>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</si>
  <si>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</si>
  <si>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</si>
  <si>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</si>
  <si>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</si>
  <si>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</si>
  <si>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</si>
  <si>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</si>
  <si>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</si>
  <si>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</si>
  <si>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</si>
  <si>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</si>
  <si>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</si>
  <si>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</si>
  <si>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CUSTO</t>
  </si>
  <si>
    <t>TOTAL ITEM</t>
  </si>
  <si>
    <t>PREÇO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</si>
  <si>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</si>
  <si>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</si>
  <si>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</si>
  <si>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</si>
  <si>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</si>
  <si>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</si>
  <si>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</si>
  <si>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</si>
  <si>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</si>
  <si>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</si>
  <si>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>CÓDIGO</t>
  </si>
  <si>
    <t>FONTE</t>
  </si>
  <si>
    <r>
      <t xml:space="preserve"> BDI =</t>
    </r>
    <r>
      <rPr>
        <u val="single"/>
        <sz val="8"/>
        <rFont val="Arial"/>
        <family val="2"/>
      </rPr>
      <t xml:space="preserve"> (1+AC)x(1+DF)x(1+(G+R))x(1+L)</t>
    </r>
    <r>
      <rPr>
        <sz val="8"/>
        <rFont val="Arial"/>
        <family val="2"/>
      </rPr>
      <t xml:space="preserve">)  -1
                                  1-T
  </t>
    </r>
    <r>
      <rPr>
        <u val="single"/>
        <sz val="8"/>
        <rFont val="Arial"/>
        <family val="2"/>
      </rPr>
      <t>Observação</t>
    </r>
    <r>
      <rPr>
        <sz val="8"/>
        <rFont val="Arial"/>
        <family val="2"/>
      </rPr>
      <t>:
  i)   Composição do BDI, intervalos admissíveis e Fórmula de cálculo nos termos do Acórdão 325/2007 do TCU.</t>
    </r>
  </si>
  <si>
    <t>SERVICOS DIVERSOS</t>
  </si>
  <si>
    <t>4.0</t>
  </si>
  <si>
    <t>4.2</t>
  </si>
  <si>
    <t>TOTAL</t>
  </si>
  <si>
    <t>PROJETO DE SINALIZAÇÃO</t>
  </si>
  <si>
    <t>4.5</t>
  </si>
  <si>
    <t>RAMPAS PARA ACESSIBILIDADE</t>
  </si>
  <si>
    <t>REGULARIZAÇÃO DE PISO PARA RAMPA</t>
  </si>
  <si>
    <t>4.3</t>
  </si>
  <si>
    <t>4.4</t>
  </si>
  <si>
    <t>OBRA:</t>
  </si>
  <si>
    <t>4.6</t>
  </si>
  <si>
    <t>REPASSE</t>
  </si>
  <si>
    <t>CONTRAPARTIDA</t>
  </si>
  <si>
    <t>DIFERENÇA</t>
  </si>
  <si>
    <t>PREÇO/M²</t>
  </si>
  <si>
    <t>((2,70X0,45)X8)X11</t>
  </si>
  <si>
    <t>(0,20x0,30x0,60)x15</t>
  </si>
  <si>
    <t>PASSEIO EM CONCRETO DESEMPENADO</t>
  </si>
  <si>
    <t>EXECUÇAO DE PAVIMENTAÇAO ASFALTICA EM PMF-CONFORME PROJETO E DEMAIS DOCUMENTOS</t>
  </si>
  <si>
    <t>4.7</t>
  </si>
  <si>
    <t>4.8</t>
  </si>
  <si>
    <t>4.9</t>
  </si>
  <si>
    <t>4.10</t>
  </si>
  <si>
    <t>4.11</t>
  </si>
  <si>
    <t>Michel Carvalho Gomes de Moraes</t>
  </si>
  <si>
    <t>CREA/SP 5062066058/D</t>
  </si>
  <si>
    <t xml:space="preserve"> MEMÓRIA DE CÁLCULO</t>
  </si>
  <si>
    <t>PISO DE BORRACHA FRISADO</t>
  </si>
  <si>
    <t>PISO DE BORRACHA PASTILHADO</t>
  </si>
  <si>
    <t>1,80 M2</t>
  </si>
  <si>
    <t>0,30 M2X6,00 UNIDADES</t>
  </si>
  <si>
    <t>ESCAVAÇÃO MANUAL,PROFUNDIDADE ATÉ 0,50 M</t>
  </si>
  <si>
    <t>13,00 UNIDADES</t>
  </si>
  <si>
    <t>(RUA CALDAS NOVAS 187,61 comprimento ruaX1,20 largura passeio X2,00 lados)+(RUA B 44,09 comprimeto ruaX1,20 largura passeioX2,00 lados)+( RUA A 55,32 comprimento ruaX1,20 largura passeioX2,00)+( RUA JOSE GERALDO PEREIRA79,59comprimento ruaX1,20 largura passeioX2,00 lados)+(RUA SÃO NOBERTO 60,00 comprimento rua x 1,20 largura passeio x 2,00 lados) - 95,04 m2 AREA DAS RAMPAS DE ACESSIBILIDADE)</t>
  </si>
  <si>
    <t>928,76 M2</t>
  </si>
  <si>
    <t>3,60 comprimento x1,20 largura x 22 unidades</t>
  </si>
  <si>
    <t>95,04 M3</t>
  </si>
  <si>
    <t>(1,20X1,20X0,10X22 UNIDADES)+RAMPA A (0,60X1,20X0,10X22)+RAMPA B (0,60X1,20X0,10X22 UNIDADES)</t>
  </si>
  <si>
    <t>6,33 M3</t>
  </si>
  <si>
    <t>95,04 area rampa x 0,25 largura piso</t>
  </si>
  <si>
    <t>23,76 M2</t>
  </si>
  <si>
    <t>223,68 M2</t>
  </si>
  <si>
    <t xml:space="preserve">(RUA CALDAS NOVAS 187,61 comprimento+RUA B 44,09 comprimento+RUA A 55,32 comprimento +RUA JOSE GERALDO PEREIRA 100,34 comprimento+RUA SÃO NOBERTO 60,00 comprimento) x 2 lados x 0,25 largura piso </t>
  </si>
  <si>
    <t>CONTRATO 1.016.539-74/2014</t>
  </si>
  <si>
    <t>PLANEJAMENTO URBANO</t>
  </si>
  <si>
    <t>MINISTÉRIO DAS CIDADES</t>
  </si>
  <si>
    <t xml:space="preserve">MOBILIZAÇÃO E DESMOBILIZAÇÃO </t>
  </si>
  <si>
    <t>FORNECIMENTO E INSTALAÇÃO DE PLACA DE IDENTIFICAÇÃO DA OBRA (3,0 x 1,5 m)</t>
  </si>
  <si>
    <t>SERVICOS TOPOGRAFICOS PARA PAVIMENTACAO, INCLUSIVE NOTA DE SERVICOS, ACOMPANHAMENTO E GREIDE</t>
  </si>
  <si>
    <t>TERRAPLENAGEM</t>
  </si>
  <si>
    <t>1.1</t>
  </si>
  <si>
    <t>1.2</t>
  </si>
  <si>
    <t>1.3</t>
  </si>
  <si>
    <t>SERVIÇOS PRELIMINARES</t>
  </si>
  <si>
    <t>CPU</t>
  </si>
  <si>
    <t>74209/001</t>
  </si>
  <si>
    <t>SINAPI</t>
  </si>
  <si>
    <t xml:space="preserve"> ESCAVACAO, CARGA E TRANSPORTE DE  MATERIAL DE 1A CATEGORIA COM TRATOR SOBRE ESTEIRAS 305 HP E CACAMBA 5M3,  DMT 50 A 200M</t>
  </si>
  <si>
    <t xml:space="preserve"> REGULARIZACAO E COMPACTACAO DE SUBLEITO ATE 20 CM DE ESPESSURA</t>
  </si>
  <si>
    <t>BASE DE SOLO ESTABILIZADO SEM MISTURA, COMPACTAÇÃO 100 % PROCTOR NORMAL COM ESPESSURA DE 20 CM</t>
  </si>
  <si>
    <t xml:space="preserve">TRANSPORTE COM CAMINHÃO BASCULANTE DE 10 M3, EM VIA URBANA EM REVESTIMENTO PRIMÁRIO (UNIDADE: M3XKM). AF_04/2016                                                          (BASE)  </t>
  </si>
  <si>
    <t>74154/001</t>
  </si>
  <si>
    <t xml:space="preserve"> IMPRIMACAO DE BASE DE PAVIMENTACAO COM ASFALTO DILUÍDO DE PETRÓLEO (ADP) CM-30  </t>
  </si>
  <si>
    <t>TRANSPORTE DE MATERIAL ASFALTICO, COM CAMINHÃO COM CAPACIDADE DE 30000 L  EM RODOVIA PAVIMENTADA PARA DISTÂNCIAS MÉDIAS DE TRANSPORTE SUPERIORES A 100 KM. AF_02/2016                                   (CM-30)</t>
  </si>
  <si>
    <t xml:space="preserve">PINTURA DE LIGACAO COM EMULSAO RR-2C  </t>
  </si>
  <si>
    <t>TRANSPORTE DE MATERIAL ASFALTICO, COM CAMINHÃO COM CAPACIDADE DE 30000 L  EM RODOVIA PAVIMENTADA PARA DISTÂNCIAS MÉDIAS DE TRANSPORTE SUPERIORES A 100 KM. AF_02/2016                                           (RR-2C)</t>
  </si>
  <si>
    <t>TRANSPORTE COM CAMINHÃO BASCULANTE 10 M3 DE MASSA ASFALTICA PARA PAVIM ENTAÇÃO URBANA</t>
  </si>
  <si>
    <t>TRANSPORTE DE MATERIAL ASFALTICO, COM CAMINHÃO COM CAPACIDADE DE 30000 L  EM RODOVIA PAVIMENTADA PARA DISTÂNCIAS MÉDIAS DE TRANSPORTE SUPERIORES A 100 KM. AF_02/2016    ( CAP-20  MATERIAL PARA FAZER A MASSA ASFALTICA).</t>
  </si>
  <si>
    <t>TRANSPORTE COM CAMINHÃO BASCULANTE 6 M3 EM RODOVIA PAVIMENTADA ( PARA DISTÂNCIAS SUPERIORES A 4 KM)                                                 (AREIA)</t>
  </si>
  <si>
    <t xml:space="preserve">TRANSPORTE COMERCIAL DE BRITA             </t>
  </si>
  <si>
    <t>MEIO-FIO E DRENAGEM</t>
  </si>
  <si>
    <t>GUIA (MEIO-FIO) E SARJETA CONJUGADOS DE CONCRETO, MOLDADA IN LOCO EM TRECHO RETO COM EXTRUSORA, GUIA 13,5 CM BASE X 26 CM ALTURA, SARJETA 45 CM BASE X 11 CM ALTURA. AF_06/2016</t>
  </si>
  <si>
    <t>SERVIÇOS COMPLEMENTARES</t>
  </si>
  <si>
    <t>CORDÃO DE CONCRETO  FCK= 15 MPA , DIMENSÕES 15X20 CM , FEITO IN LOCO</t>
  </si>
  <si>
    <t>MOBILIDADE E ACESSIBILIDADE URBANA</t>
  </si>
  <si>
    <t>EXECUÇÃO DE PASSEIO (CALÇADA) OU PISO DE CONCRETO COM CONCRETO MOLDADO  IN LOCO, FEITO EM OBRA, ACABAMENTO CONVENCIONAL, ESPESSURA 6 CM, ARMADO. AF_07/2016</t>
  </si>
  <si>
    <t>RAMPA PARA ACESSO DE DEFICIENTE, EM CONCRETO SIMPLES FCK = 15 MPA, DESEMPENADA, COM PINTURA INDICATIVA, 02 DEMÃOS</t>
  </si>
  <si>
    <t>FORECIMENTO E ASSENTAMENTO DE PISO TÁTIL DIRECIONAL  EM LADRILHO DE CONCRETO COM DIMENSÕES DE 20X20 CM, E= 2,5 CM, ASSENTADO COM ARGAMASSAMA CIMENTO, AREIA E ADITIVO IMPERMEABILIZATE.</t>
  </si>
  <si>
    <t>FORECIMENTO E ASSENTAMENTO DE PISO TÁTIL ALERTA  EM LADRILHO DE CONCRETO COLORIDO COM DIMENSÕES DE 20X20 CM, E= 2,5 CM, ASSENTADO COM ARGAMASSAMA CIMENTO,  AREIA E ADITIVO IMPERMEABILIZATE.</t>
  </si>
  <si>
    <t xml:space="preserve">SINALIZAÇÃO </t>
  </si>
  <si>
    <t>PINTURA ACRILICA PARA SINALIZAÇÃO HORIZONTAL EM PISO CIMENTADO</t>
  </si>
  <si>
    <t>CONCRETO FCK = 15MPA, TRAÇO 1:3,4:3,5 (CIMENTO/ AREIA MÉDIA/ BRITA 1) - PREPARO MECÂNICO COM BETONEIRA 400 L. AF_07/2016</t>
  </si>
  <si>
    <t>FORN. E IMPLANTAÇÃO PLACA DE SINALIZAÇÃO SEMI REFLETIVA</t>
  </si>
  <si>
    <t>PLACA ESMALTADA PARA IDENTIFICAÇÃO NR DE RUA, DIMENSÕES 45X25CM</t>
  </si>
  <si>
    <t>4 S 06 200 01</t>
  </si>
  <si>
    <t>73916/002</t>
  </si>
  <si>
    <t>DENIT</t>
  </si>
  <si>
    <t>CONTROLE TECNOLOGICO</t>
  </si>
  <si>
    <t>ENSAIOS DE REGULARIZACAO DO SUBLEITO</t>
  </si>
  <si>
    <t>ENSAIOS DE BASE ESTABILIZADA GRANULOMETRICAMENTE</t>
  </si>
  <si>
    <t>ENSAIOS DE CONCRETO ASFALTICO</t>
  </si>
  <si>
    <t>73900/001</t>
  </si>
  <si>
    <t>74021/003</t>
  </si>
  <si>
    <t>74021/006</t>
  </si>
  <si>
    <t>73900/012</t>
  </si>
  <si>
    <t>GL</t>
  </si>
  <si>
    <t>M²</t>
  </si>
  <si>
    <t>M³</t>
  </si>
  <si>
    <t>M³XKM</t>
  </si>
  <si>
    <t>TxKM</t>
  </si>
  <si>
    <t>T</t>
  </si>
  <si>
    <t>M3xKM</t>
  </si>
  <si>
    <t>M</t>
  </si>
  <si>
    <t>UNI.</t>
  </si>
  <si>
    <t>M3</t>
  </si>
  <si>
    <t>M2</t>
  </si>
  <si>
    <t>1.0 SERVIÇOS PRELIMINARES</t>
  </si>
  <si>
    <t>DESCRIÇÃO:</t>
  </si>
  <si>
    <t>CÓDIGO:</t>
  </si>
  <si>
    <t>LOGRADOURO</t>
  </si>
  <si>
    <t>Repet.</t>
  </si>
  <si>
    <t>Compr.</t>
  </si>
  <si>
    <t>Total (m2)</t>
  </si>
  <si>
    <t>Logradouro</t>
  </si>
  <si>
    <t>Área (m²)</t>
  </si>
  <si>
    <t>Volume (m³)</t>
  </si>
  <si>
    <t>DMT (km)</t>
  </si>
  <si>
    <t>Transporte (M3XKM)</t>
  </si>
  <si>
    <t>R$ Unitário</t>
  </si>
  <si>
    <t>Esp.</t>
  </si>
  <si>
    <t>Total (m)</t>
  </si>
  <si>
    <t>CPU - COMPOSIÇÃO DE PREÇO UNITÁRIO</t>
  </si>
  <si>
    <t xml:space="preserve"> COMPOSIÇÃO DE PREÇO UNITÁRIO</t>
  </si>
  <si>
    <t>CPU001</t>
  </si>
  <si>
    <t>DESCRIÇÃO DO SERVIÇO</t>
  </si>
  <si>
    <t xml:space="preserve">DATA BASE: </t>
  </si>
  <si>
    <t>MOBILIZAÇÃO E DESMOBILIZAÇÃO</t>
  </si>
  <si>
    <t xml:space="preserve">UNIDADE: </t>
  </si>
  <si>
    <t>VB</t>
  </si>
  <si>
    <t>EQUIPAMENTO</t>
  </si>
  <si>
    <t>DISCRIMINAÇÃO</t>
  </si>
  <si>
    <t>UNIDADE</t>
  </si>
  <si>
    <t>QUANT.</t>
  </si>
  <si>
    <t>PROD</t>
  </si>
  <si>
    <t>IMPROD</t>
  </si>
  <si>
    <t>P.UN. PROD</t>
  </si>
  <si>
    <t>P.UN. IMPR</t>
  </si>
  <si>
    <t>P.TOTAL</t>
  </si>
  <si>
    <t>SUB-TOTAL</t>
  </si>
  <si>
    <t>MATERIAL</t>
  </si>
  <si>
    <t>P.UNIT.</t>
  </si>
  <si>
    <t>CAMINHÃO TOCO, PBT 14.300 KG, CARGA ÚTIL MÁX. 9.710 KG, DIST. ENTRE EIXOS 3,56 M, POTÊNCIA 185 CV, INCLUSIVE CARROCERIA FIXA ABERTA DE MADEIRA P/ TRANSPORTE GERAL DE CARGA SECA, DIMEN. APROX. 2,50 X 6,50 X 0,50
M - CHI DIURNO. AF_06/2014</t>
  </si>
  <si>
    <t>H</t>
  </si>
  <si>
    <t>CAMINHÃO BASCULANTE 6 M3 TOCO, PESO BRUTO TOTAL 16.000 KG, CARGA ÚTIL MÁXIMA 11.130 KG, DISTÂNCIA ENTRE EIXOS 5,36 M, POTÊNCIA 185 CV, INCLUSIVE CAÇAMBA METÁLICA - CHP DIURNO. AF_06/2014</t>
  </si>
  <si>
    <t>SERVIÇOS - COMPOSIÇÕES AUXILIARES</t>
  </si>
  <si>
    <t>MÃO DE OBRA</t>
  </si>
  <si>
    <t>PRODUÇÃO DA EQUIPE</t>
  </si>
  <si>
    <t xml:space="preserve">CUSTO </t>
  </si>
  <si>
    <t>TOTAL - R$</t>
  </si>
  <si>
    <t>BDI                %</t>
  </si>
  <si>
    <t>TOTAL DO SERVIÇO - R$</t>
  </si>
  <si>
    <t>CPU002</t>
  </si>
  <si>
    <t>CORDÃO DE CONCRETO  PRÉ-MOLDADO  15 X 20 CM PARA TRAVAMENTO DO PAVIMENTO</t>
  </si>
  <si>
    <t>ESCAVAÇÃO MANUAL DE VALAS. AF_03/2016</t>
  </si>
  <si>
    <t>FABRICAÇÃO DE FÔRMA PARA VIGAS, EM CHAPA DE MADEIRA COMPENSADA RESINADA E = 17 MM. AF_12/2015</t>
  </si>
  <si>
    <t>REATERRO DE VALA COM COMPACTAÇÃO MANUAL</t>
  </si>
  <si>
    <t>73964/006</t>
  </si>
  <si>
    <t>CPU003</t>
  </si>
  <si>
    <t>CIMENTOCIMENTO PORTLAND COMPOSTO CP II-32</t>
  </si>
  <si>
    <t>KG</t>
  </si>
  <si>
    <t>AREIA FINA - POSTO JAZIDA/FORNECEDOR (RETIRADO NA JAZIDA, SEM TRANSPORTE)</t>
  </si>
  <si>
    <t>MERCADO</t>
  </si>
  <si>
    <t>ADITIVO IMPERMEABILIZANTE DE PEGA NORMAL PARA ARGAMASSAS E CONCRETOS SEM ARMACAO</t>
  </si>
  <si>
    <t>PEDREIRO</t>
  </si>
  <si>
    <t>AJUDANTE DE PEDREIRO</t>
  </si>
  <si>
    <t>CPU004</t>
  </si>
  <si>
    <t>CPU005</t>
  </si>
  <si>
    <t>RAMPA PARA ACESSO DE DEFICIENTE, EM CONCRETO SIMPLES FCK = 15
MPA, DESEMPENADA, COM PINTURA INDICATIVA, 02 DEMÃOS</t>
  </si>
  <si>
    <t>DMTs</t>
  </si>
  <si>
    <t>DMT DA IMPRIMAÇÃO COM CM30 (REFINARIA BH ATÉ LOCAL DA OBRA)</t>
  </si>
  <si>
    <t>DMT DA PINTURA DE LIGAÇÃO COM RR-2C (REFINARIA BH ATÉ LOCAL DA OBRA)</t>
  </si>
  <si>
    <t>DMT DO MAT. BETUMINOSO PARA EXECUÇÃO DA MASSA ASFÁLTICA (REFINARIA BH ATÉ USINA MONTES CLAROS)</t>
  </si>
  <si>
    <t xml:space="preserve">DMT DA  BRITA </t>
  </si>
  <si>
    <t xml:space="preserve">DMT DA  AREIA  </t>
  </si>
  <si>
    <t xml:space="preserve">DMT DA JAZIDA ATÉ O LOCAL DA OBRA </t>
  </si>
  <si>
    <t>DMT DA BRITA CORRIDA</t>
  </si>
  <si>
    <t>DMT DO BOTA - FORA</t>
  </si>
  <si>
    <t>2,5 KM</t>
  </si>
  <si>
    <t>SUB TOTAL:</t>
  </si>
  <si>
    <t>VALOR DA OBRA:</t>
  </si>
  <si>
    <t>b)</t>
  </si>
  <si>
    <t>CONVENIO:</t>
  </si>
  <si>
    <t>CONTRAPARTIDA:</t>
  </si>
  <si>
    <t>PORCENTAGEM:</t>
  </si>
  <si>
    <t>d)</t>
  </si>
  <si>
    <t>c)</t>
  </si>
  <si>
    <t>PLANILHA ORÇAMENTÁRIA            a )</t>
  </si>
  <si>
    <t>1.0</t>
  </si>
  <si>
    <t>2.0</t>
  </si>
  <si>
    <t>3.0</t>
  </si>
  <si>
    <t>TOTAL GERAL</t>
  </si>
  <si>
    <t xml:space="preserve">PAVIMENTAÇÃO </t>
  </si>
  <si>
    <t>PAVIMENTAÇÃO</t>
  </si>
  <si>
    <t>MOB E ACESSIBILIDADE URBANA</t>
  </si>
  <si>
    <t>SINALIZAÇÃO</t>
  </si>
  <si>
    <t>CONTROLE TECNOLÓGICO</t>
  </si>
  <si>
    <t>6.0</t>
  </si>
  <si>
    <t>7.0</t>
  </si>
  <si>
    <t>8.0</t>
  </si>
  <si>
    <t>RECURSO DA UNIÃO</t>
  </si>
  <si>
    <t>Prefeito Municipal:</t>
  </si>
  <si>
    <t>PREFEITO MUNICIPAL</t>
  </si>
  <si>
    <t>EXECUÇÃO DE PAVIMENTAÇÃO ASFÁLTICA EM  PRÉ MISTURADO A FRIO - PMF</t>
  </si>
  <si>
    <r>
      <t xml:space="preserve">Obra: </t>
    </r>
    <r>
      <rPr>
        <sz val="10"/>
        <rFont val="Arial"/>
        <family val="2"/>
      </rPr>
      <t>PAVIMENTAÇÃO DE VIAS PÚBLICAS COM ASFALTO PMF</t>
    </r>
  </si>
  <si>
    <t>73759/002</t>
  </si>
  <si>
    <t>PRE-MISTURADO A FRIO COM EMULSAO RM-1C, INCLUSO USINAGEM E APLICACAO, EXCLUSIVE TRANSPORTE</t>
  </si>
  <si>
    <t>SINALIZACAO HORIZONTAL COM TINTA RETRORREFLETIVA A BASE DE RESINA ACRILICA COM MICROESFERAS DE VIDRO</t>
  </si>
  <si>
    <t>74022/036</t>
  </si>
  <si>
    <t>ENSAIO DE ADESIVIDADE - RESISTENCIA A AGUA - EMULSAO ASFALTICA</t>
  </si>
  <si>
    <t>DMT DO PMF (USINA EM MONTES CLAROS ATÉ O LOCAL DA OBRA)</t>
  </si>
  <si>
    <t>PREFEITURA MUNICIPAL DE BRASILIA DE MINAS/MG</t>
  </si>
  <si>
    <t>BRASILIA DE MINAS</t>
  </si>
  <si>
    <t xml:space="preserve">AJUDANTE DE PEDREITO 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</si>
  <si>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</si>
  <si>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</si>
  <si>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</si>
  <si>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</si>
  <si>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</si>
  <si>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</si>
  <si>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</si>
  <si>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</si>
  <si>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</si>
  <si>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</si>
  <si>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</si>
  <si>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</si>
  <si>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</si>
  <si>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</si>
  <si>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5.1</t>
  </si>
  <si>
    <t>7.1</t>
  </si>
  <si>
    <t>6.1</t>
  </si>
  <si>
    <t>6.2</t>
  </si>
  <si>
    <t>6.3</t>
  </si>
  <si>
    <t>6.4</t>
  </si>
  <si>
    <t>7.2</t>
  </si>
  <si>
    <t>7.3</t>
  </si>
  <si>
    <t>8.1</t>
  </si>
  <si>
    <t>8.2</t>
  </si>
  <si>
    <t>8.3</t>
  </si>
  <si>
    <t>8.4</t>
  </si>
  <si>
    <t>PISO TÁTIL DIRECIONAL  EM LADRILHO DE CONCRETO COM DIMENSÕES DE 25X25CM, E= 5 CM, ASSENTADO COM ARGAMASSAMA PRÉ FABRICADA.</t>
  </si>
  <si>
    <t>PISO TÁTIL DIRECIONAL  EM LADRILHO DE CONCRETO COM DIMENSÕES DE 25X25 CM, E= 5 CM, ASSENTADO COM ARGAMASSAMA PRÉ FABRICADA.</t>
  </si>
  <si>
    <t>FORECIMENTO E ASSENTAMENTO DE PISO TÁTIL DIRECIONAL  EM LADRILHO DE CONCRETO COM DIMENSÕES DE 25X25 CM, E= 2,5 CM, ASSENTADO COM ARGAMASSAMA CIMENTO, AREIA E ADITIVO IMPERMEABILIZATE.</t>
  </si>
  <si>
    <t>FORECIMENTO E ASSENTAMENTO DE PISO TÁTIL ALERTA  EM LADRILHO DE CONCRETO COLORIDO COM DIMENSÕES DE 25X25 CM, E= 2,5 CM, ASSENTADO COM ARGAMASSAMA CIMENTO,  AREIA E ADITIVO IMPERMEABILIZATE.</t>
  </si>
  <si>
    <t>BRASILA DE MINAS MARÇO DE 2017</t>
  </si>
  <si>
    <t>PRISCILA VIANETE TEIXEIRA</t>
  </si>
  <si>
    <t>ENGENHEIRA CIVIL - CREA/MG 199246/D</t>
  </si>
  <si>
    <t>CR 1039247-42/2017</t>
  </si>
  <si>
    <t>GEELISON FERREIRA DA SILVA</t>
  </si>
  <si>
    <t xml:space="preserve">_________________________________
Priscila Vianete Teixeira
Crea nº 199.246/D
</t>
  </si>
  <si>
    <t xml:space="preserve">_________________________________
GEELISON FERREIRA DA SILVA
Prefeito Municipal
</t>
  </si>
  <si>
    <t xml:space="preserve">
FORNECIMENTO E INSTALAÇÃO DE PLACA DE IDENTIFICAÇÃO DA OBRA (3,0 x 1,0 m)</t>
  </si>
  <si>
    <t>Volume total (m3)</t>
  </si>
  <si>
    <t>ADMINISTRAÇÃO CENTRAL</t>
  </si>
  <si>
    <t>PIS</t>
  </si>
  <si>
    <t>RISCO</t>
  </si>
  <si>
    <t>ISS</t>
  </si>
  <si>
    <t>LUCRO</t>
  </si>
  <si>
    <t>Larg.</t>
  </si>
  <si>
    <t>M3XKM</t>
  </si>
  <si>
    <t>4.0 MEIO FIO E DRENAGEM</t>
  </si>
  <si>
    <t>BDI (SERVIÇO)</t>
  </si>
  <si>
    <t>BDI (FORNECIMENTO)</t>
  </si>
  <si>
    <t>VALOR UNIT.</t>
  </si>
  <si>
    <t>VALOR TOTAL</t>
  </si>
  <si>
    <t>S/BDI</t>
  </si>
  <si>
    <t>C/BDI</t>
  </si>
  <si>
    <t>CRONOGRAMA FÍSISCO-FINANCEIRO</t>
  </si>
  <si>
    <t>VALOR DO CONVENIO:</t>
  </si>
  <si>
    <t>ETAPAS/DESCRIÇAO</t>
  </si>
  <si>
    <t>FISICO/  FINANCEIRO</t>
  </si>
  <si>
    <t>TOTAL    ETAPAS</t>
  </si>
  <si>
    <t>MÊS 1</t>
  </si>
  <si>
    <t>MÊS 2</t>
  </si>
  <si>
    <t>MÊS 3</t>
  </si>
  <si>
    <t xml:space="preserve">FISICO </t>
  </si>
  <si>
    <t>FINANCEIRO</t>
  </si>
  <si>
    <t>MEIO FIO E DRENAGEM</t>
  </si>
  <si>
    <t>TOTAL:</t>
  </si>
  <si>
    <t>CODIGO</t>
  </si>
  <si>
    <t>CAMINHÃO TOCO, PBT 14.300 KG, CARGA ÚTIL MÁX. 9.710 KG, DIST. ENTRE EIXOS 3,56 M, POTÊNCIA 185 CV, INCLUSIVE CARROCERIA FIXA ABERTA DE MADEIRA P/ TRANSPORTE GERAL DE CARGA SECA, DIMEN. APROX. 2,50 X 6,50 X 0,50M - MATERIAIS NA OPERAÇÃO. AF_06/2014</t>
  </si>
  <si>
    <t>CAMINHÃO BASCULANTE 14 M3, COM CAVALO MECÂNICO DE CAPACIDADE MÁXIMA DE TRAÇÃO COMBINADO DE 36000 KG, POTÊNCIA 286 CV, INCLUSIVE SEMIREBOQUE COM CAÇAMBA METÁLICA - MATERIAIS NA OPERAÇÃO. AF_12/2014</t>
  </si>
  <si>
    <t>MÊS</t>
  </si>
  <si>
    <t xml:space="preserve">CONSUMO DE ENERGIA ELETRICA -10555/ORSE </t>
  </si>
  <si>
    <t>TARIFA "A" ENTRE 0 E 20M3 FORNECIMENTO D'AGUA -  00014583</t>
  </si>
  <si>
    <t>ALUGUEL DE MESA DE REUNIÃO - ORSE/10530</t>
  </si>
  <si>
    <t>ALUGUEL DE CADEIRA SEM BRAÇOS - ORSE/10531</t>
  </si>
  <si>
    <t>ALUGUEL DE ARQUIVO EM AÇO - ORSE/10535</t>
  </si>
  <si>
    <t>ALUGUEL DE COMPUTADOR WORK STATION  - ORSE/10539</t>
  </si>
  <si>
    <t>ALUGUEL DE IMPRESSORA COLORIDA - LASER - ORSE/10541</t>
  </si>
  <si>
    <t>ALUGUEL DE BEBEDOURO ELÉTRICO - ORSE/10786</t>
  </si>
  <si>
    <t>ALUGUEL DE APARELHO DE AR CONDICIONADO 18.000 BTU'S - ORSE/10568</t>
  </si>
  <si>
    <t>ALUGUEL DE RELÓGIO DE PONTO - ORSE/10567</t>
  </si>
  <si>
    <t>TELEFONE - DISPÊNDIO MENSAL - ORSE/10557</t>
  </si>
  <si>
    <t>INTERNET - DISPÊNDIO MENSAL - ORSE/10558</t>
  </si>
  <si>
    <t>CÓPIAS DE DESENHOS - ORSE/10559</t>
  </si>
  <si>
    <t>SEDEX - ORSE/10560</t>
  </si>
  <si>
    <t>MATERIAL DE LIMPEZA - ORSE/10563</t>
  </si>
  <si>
    <t>MEDICAMENTOS PRIMEIROS SOCORROS - ORSE/10564</t>
  </si>
  <si>
    <t>PCMAT (NR-18) - ORSE/10571</t>
  </si>
  <si>
    <t>PPRA (NR-9)- ORSE/10572</t>
  </si>
  <si>
    <t>PCMSO (NR-7) - ORSE/10573</t>
  </si>
  <si>
    <t>ART CREA</t>
  </si>
  <si>
    <t>SINAPI JUNH-2019 E ORSE MAI-2019</t>
  </si>
  <si>
    <t>TRANSPORTES DEMÁQUINAS E EQUIPAMENTOS POR CAMINHÃO CAVALO MECANICO COM CARRETA PRANCHA CAP. 20T</t>
  </si>
  <si>
    <t>ORSE</t>
  </si>
  <si>
    <t>MOTORISTA DE CAMINHAO-CARRETA</t>
  </si>
  <si>
    <t>MOTORISTA DE CAMINHAO</t>
  </si>
  <si>
    <t>MOTORISTA DE CAMINHAO-BASCULANTE</t>
  </si>
  <si>
    <t>ENGENHEIRO CIVIL DE OBRA PLENO (MENSALISTA)</t>
  </si>
  <si>
    <t>AUXILIAR DE ESCRITORIO (MENSALISTA)</t>
  </si>
  <si>
    <t>2.0 TERRAPLENAGEM</t>
  </si>
  <si>
    <t>RUAS DIVERSAS</t>
  </si>
  <si>
    <t>MEMÓRIA DE CÁLCULO</t>
  </si>
  <si>
    <t>OBRA</t>
  </si>
  <si>
    <t>BDI</t>
  </si>
  <si>
    <t xml:space="preserve">TRANSPORTE COM CAMINHÃO BASCULANTE DE 18 M3, EM VIA URBANA EM LEITO NATURAL (UNIDADE: M3XKM). AF_09/2016   (BOTA FORA)       </t>
  </si>
  <si>
    <t xml:space="preserve">TRANSPORTE COM CAMINHÃO BASCULANTE DE 18 M3, EM VIA URBANA EM LEITO NATURAL (UNIDADE: M3XKM). AF_09/2016   (BASE)      </t>
  </si>
  <si>
    <t>Larg. c/ sarj e mf</t>
  </si>
  <si>
    <t>PREFEITURA MUNICIPAL DE SÃO ROMÃO</t>
  </si>
  <si>
    <t>PLANILHA ORÇAMENTÁRIA</t>
  </si>
  <si>
    <t>3.0 COM SEXTAVADO</t>
  </si>
  <si>
    <t>Larg. sem/ sarj e mf</t>
  </si>
  <si>
    <t>PREFEITURA: SÃO ROMÃO - MG</t>
  </si>
  <si>
    <t xml:space="preserve"> COMPOSIÇÃO DE PREÇO UNITÁRIO- SÃO ROMÃO/MG</t>
  </si>
  <si>
    <t>PREFEITURA MUNICIPAL</t>
  </si>
  <si>
    <t>ADMINISTRAÇÃO LOCAL  - PRAZO DE OBRA IGUAL A 6 MESES</t>
  </si>
  <si>
    <t>PREFEITURA MUNICIPAL DE SÃO ROMÃO/MG</t>
  </si>
  <si>
    <t>PAVIMENTAÇÃO EM SEXTAVADO</t>
  </si>
  <si>
    <t xml:space="preserve">BDI/LDI - BONIFICAÇÃO/LUCRO E DESPESAS INDIRETAS </t>
  </si>
  <si>
    <t>BDI (CONFORME ACÓRDÃO Nº 2622/13 E LEI 13.161 DE 31/08/2015</t>
  </si>
  <si>
    <t>SERVIÇOS</t>
  </si>
  <si>
    <t>ITENS</t>
  </si>
  <si>
    <t>SIGLAS</t>
  </si>
  <si>
    <t>Tributos - MG com desoneração</t>
  </si>
  <si>
    <t>AC</t>
  </si>
  <si>
    <t>COFINS</t>
  </si>
  <si>
    <t>SEGURO + GARANTIA</t>
  </si>
  <si>
    <t>S+G</t>
  </si>
  <si>
    <t>R</t>
  </si>
  <si>
    <t>DESPESA FINANCEIRA</t>
  </si>
  <si>
    <t>DF</t>
  </si>
  <si>
    <t>CPRB</t>
  </si>
  <si>
    <t>L</t>
  </si>
  <si>
    <t>TRIBUTOS (Soma dos itens PIS, COFINS, ISS e CPRB*)</t>
  </si>
  <si>
    <t>Fórmula BDI conforme Acórdão 2622/2013</t>
  </si>
  <si>
    <r>
      <t xml:space="preserve">BDI = </t>
    </r>
    <r>
      <rPr>
        <b/>
        <u val="single"/>
        <sz val="8"/>
        <rFont val="Arial"/>
        <family val="2"/>
      </rPr>
      <t>(1+AC+S+G+R)*(1+DF)*(1+L)</t>
    </r>
    <r>
      <rPr>
        <b/>
        <sz val="8"/>
        <rFont val="Arial"/>
        <family val="2"/>
      </rPr>
      <t xml:space="preserve"> - 1</t>
    </r>
  </si>
  <si>
    <t>(1-T)</t>
  </si>
  <si>
    <t xml:space="preserve">THAÍS SARAIVA S. ALMEIDA </t>
  </si>
  <si>
    <t>ENG.(a) - CREA/MG 244557/D</t>
  </si>
  <si>
    <t>MARCELO MEIRELES DE MENDONÇA</t>
  </si>
  <si>
    <t>SETOP</t>
  </si>
  <si>
    <t>FORNECIMENTO E COLOCAÇÃO DE PLACA DE OBRA EM CHAPA GALVANIZADA (6,00 X 3,00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</t>
  </si>
  <si>
    <t>UNID</t>
  </si>
  <si>
    <t>ESCAVAÇÃO E CARGA COM TRATOR E CARREGADEIRA (MATERIAL DE 1ª
CATEGORIA)</t>
  </si>
  <si>
    <t>REGULARIZAÇÃO DO SUBLEITO COM PROCTOR NORMAL</t>
  </si>
  <si>
    <t>EXECUÇÃO DE CALÇAMENTO EM BLOQUETE - E = 8 CM - FCK = 35 MPA, INCLUINDO FORNECIMENTO E TRANSPORTE DE TODOS OS MATERIAIS, COLCHÃO DE ASSENTAMENTO E = 6 CM</t>
  </si>
  <si>
    <t>MEIO-FIO COM SARJETA, EXECUTADO C/EXTRUSORA (SARJETA 30X8CM MEIO-FIO 15X10CM X H=23CM), INCLUI ESCAVAÇÃO E ACERTO FAIXA 0,45M</t>
  </si>
  <si>
    <t>TXKM</t>
  </si>
  <si>
    <t>ESCAVAÇÃO E CARGA COM TRATOR E CARREGADEIRA (MATERIAL DE 1ª CATEGORIA)</t>
  </si>
  <si>
    <t>Área total (m2)</t>
  </si>
  <si>
    <t>EXECUÇÃO DE BASE DE SOLO ESTABILIZADO GRANULOMETRICAMENTE SEM MISTURA COM PROCTOR INTERMEDIÁRIO, INCLUINDO ESCAVAÇÃO, CARGA, DESCARGA, ESPALHAMENTO E COMPACTAÇÃO DO MATERIAL, EXCLUSIVE AQUISIÇÃO E TRANSPORTE DO MATERIAL</t>
  </si>
  <si>
    <t>ED-50152</t>
  </si>
  <si>
    <t>RO-40192</t>
  </si>
  <si>
    <t>RO-41081</t>
  </si>
  <si>
    <t>RO-41369</t>
  </si>
  <si>
    <t>TRANSPORTE DE MATERIAL DE QUALQUER NATUREZA. DISTÂNCIA
MÉDIA DE TRANSPORTE &lt;= 10,00 KM</t>
  </si>
  <si>
    <t>RO-41339</t>
  </si>
  <si>
    <t>TRANSPORTE DE MATERIAL DE JAZIDA PARA CONSERVAÇÃ DISTÂNCIA MÉDIA DE TRANSPORTE DE 15,10 A 20,00 KM</t>
  </si>
  <si>
    <t>RO-43113</t>
  </si>
  <si>
    <t>BASE DE SOLO SEM MISTURA, COMPACTADA NA ENERGIA DO PROCTOR INTERMEDIÁRIO (EXECUÇÃO, INCLUINDO ESCAVAÇÃO, CARGA, DESCARGA, ESPALHAMENTO, UMIDECIMENTO E COMPACTAÇÃO DO MATERIAL; EXCLUI AQUISIÇÃO E TRANSPORTE
DO MATERIAL)</t>
  </si>
  <si>
    <t>ED-50416</t>
  </si>
  <si>
    <t>ED-48665</t>
  </si>
  <si>
    <t>ISS CONSIDERADO 3% DA ALÍQUOTA SÃO ROMÃO/MG</t>
  </si>
  <si>
    <r>
      <t xml:space="preserve">DATA BASE:  </t>
    </r>
    <r>
      <rPr>
        <sz val="9"/>
        <rFont val="Arial"/>
        <family val="2"/>
      </rPr>
      <t xml:space="preserve">SETOP NOVEMBRO 2019 COM DESONERAÇÃO FISCAL </t>
    </r>
  </si>
  <si>
    <t>DATA BASE:  SETOP NOVEMBRO 2019 COM DESONERAÇÃO FISCAL</t>
  </si>
  <si>
    <t>Total</t>
  </si>
  <si>
    <t>LOCAÇÃO TOPOGRÁFICA DE 20 A 50 PONTOS</t>
  </si>
  <si>
    <t>LOCAL: RUAS DIVERSAS NA SEDE DE  SÃO ROMÃO/MG</t>
  </si>
  <si>
    <t>(*) COM DESONERAÇÃO</t>
  </si>
  <si>
    <t>Estaq.(m)</t>
  </si>
  <si>
    <t>Comp.(m)</t>
  </si>
  <si>
    <t>ED-50276</t>
  </si>
  <si>
    <t>LOCAÇÃO TOPOGRÁFICA ACIMA DE 50 PONTOS</t>
  </si>
  <si>
    <r>
      <t>OBRA:</t>
    </r>
    <r>
      <rPr>
        <sz val="9"/>
        <rFont val="Arial"/>
        <family val="2"/>
      </rPr>
      <t xml:space="preserve"> CALÇAMENTO EM BLOQUETE SEXTAVADO DE CONCRETO</t>
    </r>
  </si>
  <si>
    <t>PAVIMENTAÇÃO EM BLOQUETE SEXTAVADO DE CONCRETO
NA SEDE DE SÃO ROMÃO/MG</t>
  </si>
  <si>
    <t>OBRA: PAVIMENTAÇÃO EM BLOQUETE SEXTAVADO</t>
  </si>
  <si>
    <t>Espes.</t>
  </si>
  <si>
    <t>TODAS AS RUAS</t>
  </si>
  <si>
    <t>PRAZO DE EXECUÇÃO: 90 dias</t>
  </si>
  <si>
    <r>
      <t xml:space="preserve">PRAZO DE EXECUÇÃO: 90 </t>
    </r>
    <r>
      <rPr>
        <sz val="9"/>
        <rFont val="Arial"/>
        <family val="2"/>
      </rPr>
      <t>dias</t>
    </r>
  </si>
  <si>
    <t>RUA GERÔNIMO BISPO</t>
  </si>
  <si>
    <t>RUA SALTIN VALADARES</t>
  </si>
  <si>
    <t>5.0  SERVIÇOS COMPLEMENTARES</t>
  </si>
  <si>
    <t>GUIA DE CORDÃO BOLEADO, EM CONCRETO COM FCK 20MPA,
PRÉ-MOLDADA, 10X10CM (ALTURA X LARGURA), INCLUSIVE UMA
(1) FIADA DE BLOCO DE CONCRETO, ESP. 9CM, ESCAVAÇÃO,
APILOAMENTO E TRANSPORTE COM RETIRADA DO MATERIAL
ESCAVADO (EM CAÇAMBA)</t>
  </si>
  <si>
    <t>GUIA DE CORDÃO BOLEADO, EM CONCRETO COM FCK 20MPA, PRÉ-MOLDADA, 10X10CM (ALTURA X LARGURA), INCLUSIVE UMA (1) FIADA DE BLOCO DE CONCRETO, ESP. 9CM, ESCAVAÇÃO, APILOAMENTO E TRANSPORTE COM RETIRADA DO MATERIAL ESCAVADO (EM CAÇAMBA)</t>
  </si>
  <si>
    <t>67.98+67.98</t>
  </si>
  <si>
    <t>7.26+10.42+6.29+7.28+6.83+7.33+7.28+8.42</t>
  </si>
  <si>
    <t>REMOÇÃO DE MEIO-FIO PRÉ-MOLDADO DE CONCRETO INCLUSIVE
CARGA</t>
  </si>
  <si>
    <t>Área Total (m²)</t>
  </si>
  <si>
    <t>DEMOLIÇÃO DE PASSEIO OU LAJE DE CONCRETO MANUALMENTE, INCLUSIVE AFASTAMENTO</t>
  </si>
  <si>
    <t>ED-48472</t>
  </si>
  <si>
    <t>1.4</t>
  </si>
  <si>
    <t>ED-48487</t>
  </si>
  <si>
    <t>ED-51135</t>
  </si>
  <si>
    <t>123,97+46,92</t>
  </si>
  <si>
    <t>48,84+118,66</t>
  </si>
  <si>
    <t>7,61+7,37+8</t>
  </si>
  <si>
    <t>LOCAL: RUAS SALTIN VALADARES E GERÔNIMO BISPO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</si>
</sst>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mmmm\-yyyy;@"/>
    <numFmt numFmtId="175" formatCode="_(* #,##0_);_(* \(#,##0\);_(* &quot;-&quot;??_);_(@_)"/>
    <numFmt numFmtId="176" formatCode="_(* #,##0.00_);_(* \(#,##0.00\);_(* \-??_);_(@_)"/>
    <numFmt numFmtId="177" formatCode="0.000"/>
    <numFmt numFmtId="178" formatCode="#,##0.0"/>
    <numFmt numFmtId="179" formatCode="0.000000%"/>
    <numFmt numFmtId="180" formatCode="0.0000000000"/>
    <numFmt numFmtId="181" formatCode="0.000000000000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_);_(* \(#,##0.0000000000\);_(* &quot;-&quot;??????????_);_(@_)"/>
    <numFmt numFmtId="187" formatCode="_(* #,##0.00000000_);_(* \(#,##0.00000000\);_(* &quot;-&quot;????????_);_(@_)"/>
    <numFmt numFmtId="188" formatCode="_(* #,##0.0000000_);_(* \(#,##0.0000000\);_(* &quot;-&quot;?????????_);_(@_)"/>
    <numFmt numFmtId="189" formatCode="_(* #,##0.000_);_(* \(#,##0.000\);_(* &quot;-&quot;???_);_(@_)"/>
    <numFmt numFmtId="190" formatCode="_(* #,##0.00000000000000_);_(* \(#,##0.00000000000000\);_(* &quot;-&quot;??_);_(@_)"/>
    <numFmt numFmtId="191" formatCode="_(* #,##0.00000000000000000_);_(* \(#,##0.00000000000000000\);_(* &quot;-&quot;??_);_(@_)"/>
    <numFmt numFmtId="192" formatCode="[$-416]dddd\,\ d&quot; de &quot;mmmm&quot; de &quot;yyyy"/>
    <numFmt numFmtId="193" formatCode="&quot;R$&quot;\ #,##0.00"/>
    <numFmt numFmtId="194" formatCode="#,##0.000"/>
    <numFmt numFmtId="195" formatCode="#,##0.0000"/>
    <numFmt numFmtId="196" formatCode="0.00000"/>
    <numFmt numFmtId="197" formatCode="&quot;R$ &quot;#,##0.00_);[Red]\(&quot;R$ &quot;#,##0.00\)"/>
    <numFmt numFmtId="198" formatCode="#,##0.00\ &quot;KM&quot;"/>
    <numFmt numFmtId="199" formatCode="#,##0.000000"/>
    <numFmt numFmtId="200" formatCode="&quot;R$&quot;\ #,##0.000000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0.0000000"/>
    <numFmt numFmtId="206" formatCode="0.000000"/>
    <numFmt numFmtId="207" formatCode="0.0000"/>
    <numFmt numFmtId="208" formatCode="_-* #,##0.00000_-;\-* #,##0.00000_-;_-* &quot;-&quot;?????_-;_-@_-"/>
    <numFmt numFmtId="209" formatCode="&quot;R$&quot;#,##0.00"/>
    <numFmt numFmtId="210" formatCode="d/m;@"/>
    <numFmt numFmtId="211" formatCode="&quot;R$ &quot;#,##0.00"/>
    <numFmt numFmtId="212" formatCode="0.0%"/>
    <numFmt numFmtId="213" formatCode="0.000%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sz val="1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name val="Swis721 Md BT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color indexed="56"/>
      <name val="Arial"/>
      <family val="2"/>
    </font>
    <font>
      <sz val="8"/>
      <color indexed="8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name val="Arial"/>
      <family val="2"/>
    </font>
    <font>
      <b/>
      <i/>
      <sz val="12"/>
      <color indexed="56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2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2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/>
      <bottom/>
    </border>
    <border>
      <left/>
      <right style="thin"/>
      <top style="hair"/>
      <bottom style="hair"/>
    </border>
    <border>
      <left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17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87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3" fontId="3" fillId="0" borderId="0" xfId="64" applyFont="1" applyAlignment="1">
      <alignment vertical="center"/>
    </xf>
    <xf numFmtId="173" fontId="3" fillId="0" borderId="0" xfId="64" applyFont="1" applyAlignment="1">
      <alignment horizontal="left" vertical="center"/>
    </xf>
    <xf numFmtId="173" fontId="3" fillId="0" borderId="10" xfId="64" applyFont="1" applyBorder="1" applyAlignment="1">
      <alignment horizontal="left" vertical="center"/>
    </xf>
    <xf numFmtId="173" fontId="5" fillId="0" borderId="0" xfId="64" applyFont="1" applyAlignment="1">
      <alignment vertical="center"/>
    </xf>
    <xf numFmtId="173" fontId="3" fillId="0" borderId="14" xfId="64" applyFont="1" applyBorder="1" applyAlignment="1">
      <alignment vertical="center"/>
    </xf>
    <xf numFmtId="173" fontId="3" fillId="0" borderId="16" xfId="64" applyFont="1" applyBorder="1" applyAlignment="1">
      <alignment vertical="center"/>
    </xf>
    <xf numFmtId="173" fontId="0" fillId="33" borderId="23" xfId="64" applyFont="1" applyFill="1" applyBorder="1" applyAlignment="1">
      <alignment vertical="center"/>
    </xf>
    <xf numFmtId="173" fontId="4" fillId="33" borderId="24" xfId="64" applyFont="1" applyFill="1" applyBorder="1" applyAlignment="1">
      <alignment horizontal="right" vertical="center"/>
    </xf>
    <xf numFmtId="173" fontId="0" fillId="0" borderId="0" xfId="64" applyFont="1" applyAlignment="1">
      <alignment vertical="center"/>
    </xf>
    <xf numFmtId="173" fontId="0" fillId="0" borderId="12" xfId="64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10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10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 horizontal="center"/>
    </xf>
    <xf numFmtId="173" fontId="0" fillId="0" borderId="0" xfId="64" applyAlignment="1">
      <alignment/>
    </xf>
    <xf numFmtId="0" fontId="3" fillId="34" borderId="31" xfId="0" applyFont="1" applyFill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34" borderId="33" xfId="0" applyFont="1" applyFill="1" applyBorder="1" applyAlignment="1">
      <alignment wrapText="1"/>
    </xf>
    <xf numFmtId="4" fontId="3" fillId="0" borderId="34" xfId="0" applyNumberFormat="1" applyFont="1" applyBorder="1" applyAlignment="1" applyProtection="1">
      <alignment horizontal="right"/>
      <protection locked="0"/>
    </xf>
    <xf numFmtId="4" fontId="3" fillId="0" borderId="31" xfId="0" applyNumberFormat="1" applyFont="1" applyBorder="1" applyAlignment="1" applyProtection="1">
      <alignment horizontal="right"/>
      <protection locked="0"/>
    </xf>
    <xf numFmtId="4" fontId="3" fillId="0" borderId="35" xfId="0" applyNumberFormat="1" applyFont="1" applyBorder="1" applyAlignment="1" applyProtection="1">
      <alignment horizontal="right"/>
      <protection locked="0"/>
    </xf>
    <xf numFmtId="0" fontId="0" fillId="0" borderId="33" xfId="0" applyFont="1" applyBorder="1" applyAlignment="1">
      <alignment/>
    </xf>
    <xf numFmtId="173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34" borderId="36" xfId="0" applyFont="1" applyFill="1" applyBorder="1" applyAlignment="1">
      <alignment horizontal="center"/>
    </xf>
    <xf numFmtId="0" fontId="4" fillId="0" borderId="32" xfId="0" applyFont="1" applyBorder="1" applyAlignment="1">
      <alignment wrapText="1"/>
    </xf>
    <xf numFmtId="4" fontId="4" fillId="0" borderId="31" xfId="0" applyNumberFormat="1" applyFont="1" applyBorder="1" applyAlignment="1" applyProtection="1">
      <alignment horizontal="right"/>
      <protection locked="0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5" fontId="3" fillId="0" borderId="0" xfId="64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9" fontId="3" fillId="0" borderId="0" xfId="51" applyFont="1" applyAlignment="1">
      <alignment vertical="center"/>
    </xf>
    <xf numFmtId="183" fontId="3" fillId="0" borderId="0" xfId="64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9" fontId="3" fillId="0" borderId="0" xfId="64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91" fontId="3" fillId="0" borderId="0" xfId="64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4" borderId="37" xfId="0" applyFont="1" applyFill="1" applyBorder="1" applyAlignment="1">
      <alignment horizontal="center"/>
    </xf>
    <xf numFmtId="0" fontId="4" fillId="34" borderId="32" xfId="0" applyFont="1" applyFill="1" applyBorder="1" applyAlignment="1">
      <alignment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wrapText="1"/>
    </xf>
    <xf numFmtId="0" fontId="3" fillId="34" borderId="36" xfId="0" applyFont="1" applyFill="1" applyBorder="1" applyAlignment="1">
      <alignment horizontal="center"/>
    </xf>
    <xf numFmtId="0" fontId="3" fillId="0" borderId="32" xfId="0" applyFont="1" applyBorder="1" applyAlignment="1">
      <alignment wrapText="1"/>
    </xf>
    <xf numFmtId="4" fontId="3" fillId="0" borderId="31" xfId="0" applyNumberFormat="1" applyFont="1" applyBorder="1" applyAlignment="1" applyProtection="1">
      <alignment horizontal="right"/>
      <protection locked="0"/>
    </xf>
    <xf numFmtId="0" fontId="3" fillId="34" borderId="37" xfId="0" applyFont="1" applyFill="1" applyBorder="1" applyAlignment="1">
      <alignment horizontal="center"/>
    </xf>
    <xf numFmtId="0" fontId="4" fillId="35" borderId="13" xfId="0" applyFont="1" applyFill="1" applyBorder="1" applyAlignment="1" applyProtection="1">
      <alignment vertical="center"/>
      <protection locked="0"/>
    </xf>
    <xf numFmtId="0" fontId="3" fillId="35" borderId="15" xfId="0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 horizontal="center" vertical="center"/>
    </xf>
    <xf numFmtId="0" fontId="9" fillId="0" borderId="30" xfId="0" applyFont="1" applyBorder="1" applyAlignment="1">
      <alignment/>
    </xf>
    <xf numFmtId="2" fontId="9" fillId="36" borderId="24" xfId="0" applyNumberFormat="1" applyFont="1" applyFill="1" applyBorder="1" applyAlignment="1">
      <alignment horizontal="center"/>
    </xf>
    <xf numFmtId="4" fontId="9" fillId="0" borderId="26" xfId="0" applyNumberFormat="1" applyFont="1" applyBorder="1" applyAlignment="1">
      <alignment horizontal="center" vertical="center"/>
    </xf>
    <xf numFmtId="2" fontId="9" fillId="36" borderId="21" xfId="0" applyNumberFormat="1" applyFont="1" applyFill="1" applyBorder="1" applyAlignment="1">
      <alignment horizontal="left"/>
    </xf>
    <xf numFmtId="4" fontId="69" fillId="0" borderId="26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/>
    </xf>
    <xf numFmtId="4" fontId="9" fillId="0" borderId="39" xfId="0" applyNumberFormat="1" applyFont="1" applyBorder="1" applyAlignment="1">
      <alignment horizontal="center" vertical="center"/>
    </xf>
    <xf numFmtId="4" fontId="10" fillId="37" borderId="39" xfId="0" applyNumberFormat="1" applyFont="1" applyFill="1" applyBorder="1" applyAlignment="1">
      <alignment horizontal="center"/>
    </xf>
    <xf numFmtId="0" fontId="9" fillId="36" borderId="30" xfId="0" applyFont="1" applyFill="1" applyBorder="1" applyAlignment="1">
      <alignment/>
    </xf>
    <xf numFmtId="0" fontId="2" fillId="38" borderId="22" xfId="47" applyFont="1" applyFill="1" applyBorder="1" applyAlignment="1">
      <alignment horizontal="left" vertical="center"/>
      <protection/>
    </xf>
    <xf numFmtId="0" fontId="2" fillId="38" borderId="23" xfId="47" applyFont="1" applyFill="1" applyBorder="1" applyAlignment="1">
      <alignment horizontal="center"/>
      <protection/>
    </xf>
    <xf numFmtId="0" fontId="0" fillId="38" borderId="23" xfId="47" applyFill="1" applyBorder="1" applyAlignment="1">
      <alignment horizontal="left" vertical="center" wrapText="1"/>
      <protection/>
    </xf>
    <xf numFmtId="0" fontId="0" fillId="38" borderId="23" xfId="47" applyFill="1" applyBorder="1" applyAlignment="1">
      <alignment horizontal="center" vertical="center" wrapText="1"/>
      <protection/>
    </xf>
    <xf numFmtId="173" fontId="0" fillId="38" borderId="23" xfId="66" applyFill="1" applyBorder="1" applyAlignment="1">
      <alignment horizontal="center" vertical="center" wrapText="1"/>
    </xf>
    <xf numFmtId="173" fontId="0" fillId="38" borderId="23" xfId="66" applyFill="1" applyBorder="1" applyAlignment="1">
      <alignment vertical="center" wrapText="1"/>
    </xf>
    <xf numFmtId="173" fontId="0" fillId="38" borderId="24" xfId="66" applyFill="1" applyBorder="1" applyAlignment="1">
      <alignment vertical="center" wrapText="1"/>
    </xf>
    <xf numFmtId="0" fontId="2" fillId="36" borderId="26" xfId="47" applyFont="1" applyFill="1" applyBorder="1" applyAlignment="1">
      <alignment horizontal="center" vertical="center" wrapText="1"/>
      <protection/>
    </xf>
    <xf numFmtId="0" fontId="0" fillId="36" borderId="22" xfId="47" applyFill="1" applyBorder="1" applyAlignment="1">
      <alignment horizontal="left" vertical="center"/>
      <protection/>
    </xf>
    <xf numFmtId="17" fontId="0" fillId="34" borderId="24" xfId="47" applyNumberFormat="1" applyFill="1" applyBorder="1" applyAlignment="1">
      <alignment horizontal="left" vertical="center"/>
      <protection/>
    </xf>
    <xf numFmtId="0" fontId="0" fillId="0" borderId="10" xfId="47" applyBorder="1" applyAlignment="1">
      <alignment horizontal="left" vertical="center"/>
      <protection/>
    </xf>
    <xf numFmtId="0" fontId="0" fillId="0" borderId="11" xfId="47" applyBorder="1" applyAlignment="1">
      <alignment horizontal="center" vertical="center"/>
      <protection/>
    </xf>
    <xf numFmtId="0" fontId="0" fillId="34" borderId="40" xfId="47" applyFill="1" applyBorder="1" applyAlignment="1">
      <alignment horizontal="center" vertical="center"/>
      <protection/>
    </xf>
    <xf numFmtId="196" fontId="0" fillId="34" borderId="40" xfId="47" applyNumberFormat="1" applyFill="1" applyBorder="1" applyAlignment="1">
      <alignment horizontal="center" vertical="center"/>
      <protection/>
    </xf>
    <xf numFmtId="0" fontId="0" fillId="0" borderId="40" xfId="47" applyBorder="1" applyAlignment="1">
      <alignment horizontal="center" vertical="center"/>
      <protection/>
    </xf>
    <xf numFmtId="0" fontId="0" fillId="0" borderId="26" xfId="47" applyBorder="1" applyAlignment="1">
      <alignment horizontal="center" vertical="center"/>
      <protection/>
    </xf>
    <xf numFmtId="196" fontId="0" fillId="0" borderId="26" xfId="47" applyNumberFormat="1" applyBorder="1" applyAlignment="1">
      <alignment horizontal="right" vertical="center"/>
      <protection/>
    </xf>
    <xf numFmtId="4" fontId="0" fillId="0" borderId="26" xfId="47" applyNumberFormat="1" applyBorder="1" applyAlignment="1">
      <alignment vertical="center"/>
      <protection/>
    </xf>
    <xf numFmtId="4" fontId="0" fillId="34" borderId="40" xfId="47" applyNumberFormat="1" applyFill="1" applyBorder="1" applyAlignment="1">
      <alignment vertical="center"/>
      <protection/>
    </xf>
    <xf numFmtId="0" fontId="0" fillId="36" borderId="21" xfId="47" applyFill="1" applyBorder="1" applyAlignment="1">
      <alignment horizontal="center" vertical="center"/>
      <protection/>
    </xf>
    <xf numFmtId="177" fontId="0" fillId="36" borderId="26" xfId="47" applyNumberFormat="1" applyFill="1" applyBorder="1" applyAlignment="1">
      <alignment horizontal="right" vertical="center"/>
      <protection/>
    </xf>
    <xf numFmtId="1" fontId="0" fillId="36" borderId="26" xfId="47" applyNumberFormat="1" applyFill="1" applyBorder="1" applyAlignment="1">
      <alignment horizontal="center" vertical="center"/>
      <protection/>
    </xf>
    <xf numFmtId="196" fontId="0" fillId="36" borderId="26" xfId="47" applyNumberFormat="1" applyFill="1" applyBorder="1" applyAlignment="1">
      <alignment horizontal="right" vertical="center"/>
      <protection/>
    </xf>
    <xf numFmtId="0" fontId="0" fillId="36" borderId="26" xfId="47" applyFill="1" applyBorder="1" applyAlignment="1">
      <alignment horizontal="center" vertical="center"/>
      <protection/>
    </xf>
    <xf numFmtId="197" fontId="0" fillId="36" borderId="26" xfId="65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4" borderId="26" xfId="47" applyFill="1" applyBorder="1" applyAlignment="1">
      <alignment horizontal="right" vertical="center"/>
      <protection/>
    </xf>
    <xf numFmtId="4" fontId="0" fillId="34" borderId="26" xfId="47" applyNumberFormat="1" applyFill="1" applyBorder="1" applyAlignment="1">
      <alignment horizontal="center" vertical="center"/>
      <protection/>
    </xf>
    <xf numFmtId="0" fontId="2" fillId="34" borderId="20" xfId="47" applyFont="1" applyFill="1" applyBorder="1" applyAlignment="1">
      <alignment horizontal="center" vertical="center"/>
      <protection/>
    </xf>
    <xf numFmtId="0" fontId="2" fillId="34" borderId="21" xfId="47" applyFont="1" applyFill="1" applyBorder="1" applyAlignment="1">
      <alignment horizontal="center" vertical="center"/>
      <protection/>
    </xf>
    <xf numFmtId="4" fontId="0" fillId="34" borderId="26" xfId="47" applyNumberFormat="1" applyFill="1" applyBorder="1" applyAlignment="1">
      <alignment vertical="center"/>
      <protection/>
    </xf>
    <xf numFmtId="4" fontId="0" fillId="36" borderId="26" xfId="47" applyNumberFormat="1" applyFill="1" applyBorder="1" applyAlignment="1">
      <alignment vertical="center"/>
      <protection/>
    </xf>
    <xf numFmtId="4" fontId="0" fillId="0" borderId="40" xfId="47" applyNumberFormat="1" applyBorder="1" applyAlignment="1">
      <alignment vertical="center"/>
      <protection/>
    </xf>
    <xf numFmtId="195" fontId="0" fillId="0" borderId="26" xfId="47" applyNumberFormat="1" applyBorder="1" applyAlignment="1">
      <alignment horizontal="right" vertical="center"/>
      <protection/>
    </xf>
    <xf numFmtId="4" fontId="2" fillId="39" borderId="26" xfId="47" applyNumberFormat="1" applyFont="1" applyFill="1" applyBorder="1" applyAlignment="1">
      <alignment horizontal="center" vertical="center"/>
      <protection/>
    </xf>
    <xf numFmtId="2" fontId="0" fillId="36" borderId="26" xfId="47" applyNumberFormat="1" applyFill="1" applyBorder="1" applyAlignment="1">
      <alignment horizontal="center" vertical="center"/>
      <protection/>
    </xf>
    <xf numFmtId="4" fontId="2" fillId="39" borderId="41" xfId="4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70" fillId="0" borderId="42" xfId="0" applyFont="1" applyBorder="1" applyAlignment="1">
      <alignment vertical="center"/>
    </xf>
    <xf numFmtId="198" fontId="70" fillId="0" borderId="43" xfId="0" applyNumberFormat="1" applyFont="1" applyBorder="1" applyAlignment="1">
      <alignment horizontal="center" vertical="center"/>
    </xf>
    <xf numFmtId="0" fontId="70" fillId="0" borderId="44" xfId="0" applyFont="1" applyBorder="1" applyAlignment="1">
      <alignment vertical="center"/>
    </xf>
    <xf numFmtId="198" fontId="70" fillId="0" borderId="45" xfId="0" applyNumberFormat="1" applyFont="1" applyBorder="1" applyAlignment="1">
      <alignment horizontal="center" vertical="center"/>
    </xf>
    <xf numFmtId="198" fontId="70" fillId="36" borderId="45" xfId="0" applyNumberFormat="1" applyFont="1" applyFill="1" applyBorder="1" applyAlignment="1">
      <alignment horizontal="center" vertical="center"/>
    </xf>
    <xf numFmtId="0" fontId="70" fillId="0" borderId="46" xfId="0" applyFont="1" applyBorder="1" applyAlignment="1">
      <alignment vertical="center"/>
    </xf>
    <xf numFmtId="0" fontId="70" fillId="0" borderId="47" xfId="0" applyFont="1" applyBorder="1" applyAlignment="1">
      <alignment vertical="center"/>
    </xf>
    <xf numFmtId="198" fontId="70" fillId="0" borderId="4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6" xfId="0" applyFont="1" applyBorder="1" applyAlignment="1">
      <alignment horizontal="center"/>
    </xf>
    <xf numFmtId="193" fontId="0" fillId="0" borderId="26" xfId="0" applyNumberFormat="1" applyBorder="1" applyAlignment="1">
      <alignment horizontal="left"/>
    </xf>
    <xf numFmtId="0" fontId="0" fillId="0" borderId="26" xfId="0" applyFont="1" applyBorder="1" applyAlignment="1">
      <alignment/>
    </xf>
    <xf numFmtId="193" fontId="2" fillId="0" borderId="26" xfId="0" applyNumberFormat="1" applyFont="1" applyBorder="1" applyAlignment="1">
      <alignment horizontal="left"/>
    </xf>
    <xf numFmtId="200" fontId="0" fillId="0" borderId="0" xfId="0" applyNumberFormat="1" applyAlignment="1">
      <alignment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10" fontId="0" fillId="0" borderId="49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173" fontId="3" fillId="0" borderId="50" xfId="64" applyFont="1" applyBorder="1" applyAlignment="1">
      <alignment vertical="center"/>
    </xf>
    <xf numFmtId="193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36" borderId="0" xfId="0" applyFont="1" applyFill="1" applyAlignment="1">
      <alignment/>
    </xf>
    <xf numFmtId="4" fontId="9" fillId="36" borderId="26" xfId="0" applyNumberFormat="1" applyFont="1" applyFill="1" applyBorder="1" applyAlignment="1">
      <alignment horizontal="center" vertical="center"/>
    </xf>
    <xf numFmtId="4" fontId="70" fillId="36" borderId="2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4" fillId="40" borderId="26" xfId="0" applyFont="1" applyFill="1" applyBorder="1" applyAlignment="1">
      <alignment vertical="center"/>
    </xf>
    <xf numFmtId="43" fontId="4" fillId="40" borderId="26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43" fontId="3" fillId="0" borderId="26" xfId="0" applyNumberFormat="1" applyFont="1" applyBorder="1" applyAlignment="1">
      <alignment vertical="center"/>
    </xf>
    <xf numFmtId="43" fontId="3" fillId="0" borderId="26" xfId="44" applyNumberFormat="1" applyFont="1" applyBorder="1" applyAlignment="1">
      <alignment vertical="center"/>
    </xf>
    <xf numFmtId="43" fontId="4" fillId="0" borderId="26" xfId="0" applyNumberFormat="1" applyFont="1" applyBorder="1" applyAlignment="1">
      <alignment vertical="center"/>
    </xf>
    <xf numFmtId="0" fontId="3" fillId="0" borderId="26" xfId="47" applyFont="1" applyBorder="1" applyAlignment="1">
      <alignment vertical="center" wrapText="1"/>
      <protection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40" borderId="26" xfId="47" applyFont="1" applyFill="1" applyBorder="1" applyAlignment="1">
      <alignment vertical="center" wrapText="1"/>
      <protection/>
    </xf>
    <xf numFmtId="0" fontId="3" fillId="40" borderId="26" xfId="0" applyFont="1" applyFill="1" applyBorder="1" applyAlignment="1">
      <alignment horizontal="center" vertical="center"/>
    </xf>
    <xf numFmtId="43" fontId="3" fillId="40" borderId="26" xfId="0" applyNumberFormat="1" applyFont="1" applyFill="1" applyBorder="1" applyAlignment="1">
      <alignment vertical="center"/>
    </xf>
    <xf numFmtId="43" fontId="4" fillId="40" borderId="26" xfId="44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justify" vertical="center"/>
    </xf>
    <xf numFmtId="43" fontId="3" fillId="40" borderId="26" xfId="44" applyNumberFormat="1" applyFont="1" applyFill="1" applyBorder="1" applyAlignment="1">
      <alignment vertical="center"/>
    </xf>
    <xf numFmtId="0" fontId="71" fillId="0" borderId="0" xfId="0" applyFont="1" applyAlignment="1">
      <alignment/>
    </xf>
    <xf numFmtId="0" fontId="71" fillId="0" borderId="2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/>
    </xf>
    <xf numFmtId="10" fontId="71" fillId="0" borderId="26" xfId="51" applyNumberFormat="1" applyFont="1" applyBorder="1" applyAlignment="1">
      <alignment horizontal="center"/>
    </xf>
    <xf numFmtId="10" fontId="71" fillId="0" borderId="26" xfId="51" applyNumberFormat="1" applyFont="1" applyBorder="1" applyAlignment="1" applyProtection="1">
      <alignment horizontal="center"/>
      <protection locked="0"/>
    </xf>
    <xf numFmtId="172" fontId="71" fillId="0" borderId="26" xfId="44" applyFont="1" applyBorder="1" applyAlignment="1" applyProtection="1">
      <alignment horizontal="center"/>
      <protection locked="0"/>
    </xf>
    <xf numFmtId="172" fontId="71" fillId="0" borderId="26" xfId="44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10" fontId="71" fillId="0" borderId="40" xfId="51" applyNumberFormat="1" applyFont="1" applyBorder="1" applyAlignment="1">
      <alignment horizontal="center"/>
    </xf>
    <xf numFmtId="172" fontId="71" fillId="0" borderId="40" xfId="44" applyFont="1" applyBorder="1" applyAlignment="1">
      <alignment horizontal="center"/>
    </xf>
    <xf numFmtId="0" fontId="71" fillId="0" borderId="23" xfId="0" applyFont="1" applyBorder="1" applyAlignment="1">
      <alignment/>
    </xf>
    <xf numFmtId="10" fontId="71" fillId="0" borderId="19" xfId="0" applyNumberFormat="1" applyFont="1" applyBorder="1" applyAlignment="1" applyProtection="1">
      <alignment/>
      <protection locked="0"/>
    </xf>
    <xf numFmtId="172" fontId="71" fillId="0" borderId="19" xfId="44" applyFont="1" applyBorder="1" applyAlignment="1">
      <alignment horizontal="center"/>
    </xf>
    <xf numFmtId="0" fontId="71" fillId="0" borderId="19" xfId="0" applyFont="1" applyBorder="1" applyAlignment="1" applyProtection="1">
      <alignment/>
      <protection locked="0"/>
    </xf>
    <xf numFmtId="0" fontId="71" fillId="0" borderId="12" xfId="0" applyFont="1" applyBorder="1" applyAlignment="1" applyProtection="1">
      <alignment/>
      <protection locked="0"/>
    </xf>
    <xf numFmtId="44" fontId="71" fillId="0" borderId="12" xfId="0" applyNumberFormat="1" applyFont="1" applyBorder="1" applyAlignment="1" applyProtection="1">
      <alignment vertical="top"/>
      <protection locked="0"/>
    </xf>
    <xf numFmtId="0" fontId="9" fillId="0" borderId="30" xfId="0" applyFont="1" applyBorder="1" applyAlignment="1">
      <alignment vertical="center"/>
    </xf>
    <xf numFmtId="0" fontId="46" fillId="0" borderId="0" xfId="0" applyFont="1" applyAlignment="1">
      <alignment vertical="center"/>
    </xf>
    <xf numFmtId="3" fontId="24" fillId="4" borderId="26" xfId="49" applyFont="1" applyFill="1" applyBorder="1" applyAlignment="1" quotePrefix="1">
      <alignment horizontal="center" vertical="center"/>
      <protection/>
    </xf>
    <xf numFmtId="2" fontId="0" fillId="34" borderId="22" xfId="47" applyNumberFormat="1" applyFill="1" applyBorder="1" applyAlignment="1">
      <alignment horizontal="left" vertical="center"/>
      <protection/>
    </xf>
    <xf numFmtId="2" fontId="0" fillId="34" borderId="23" xfId="47" applyNumberFormat="1" applyFill="1" applyBorder="1" applyAlignment="1">
      <alignment horizontal="left" vertical="center"/>
      <protection/>
    </xf>
    <xf numFmtId="2" fontId="0" fillId="34" borderId="24" xfId="47" applyNumberFormat="1" applyFill="1" applyBorder="1" applyAlignment="1">
      <alignment horizontal="left" vertical="center"/>
      <protection/>
    </xf>
    <xf numFmtId="0" fontId="0" fillId="0" borderId="22" xfId="47" applyBorder="1" applyAlignment="1">
      <alignment horizontal="right" vertical="center"/>
      <protection/>
    </xf>
    <xf numFmtId="0" fontId="23" fillId="0" borderId="0" xfId="0" applyFont="1" applyBorder="1" applyAlignment="1">
      <alignment vertical="center"/>
    </xf>
    <xf numFmtId="0" fontId="0" fillId="0" borderId="0" xfId="48">
      <alignment/>
      <protection/>
    </xf>
    <xf numFmtId="196" fontId="0" fillId="0" borderId="23" xfId="47" applyNumberFormat="1" applyBorder="1" applyAlignment="1">
      <alignment horizontal="right" vertical="center"/>
      <protection/>
    </xf>
    <xf numFmtId="0" fontId="0" fillId="36" borderId="26" xfId="0" applyFill="1" applyBorder="1" applyAlignment="1">
      <alignment horizontal="center" vertical="center"/>
    </xf>
    <xf numFmtId="177" fontId="0" fillId="36" borderId="21" xfId="47" applyNumberFormat="1" applyFill="1" applyBorder="1" applyAlignment="1">
      <alignment horizontal="center" vertical="center"/>
      <protection/>
    </xf>
    <xf numFmtId="0" fontId="0" fillId="34" borderId="23" xfId="47" applyFill="1" applyBorder="1" applyAlignment="1">
      <alignment horizontal="center" vertical="center"/>
      <protection/>
    </xf>
    <xf numFmtId="0" fontId="0" fillId="0" borderId="10" xfId="47" applyBorder="1" applyAlignment="1">
      <alignment horizontal="right" vertical="center"/>
      <protection/>
    </xf>
    <xf numFmtId="0" fontId="0" fillId="0" borderId="40" xfId="47" applyBorder="1" applyAlignment="1">
      <alignment horizontal="right" vertical="center"/>
      <protection/>
    </xf>
    <xf numFmtId="0" fontId="0" fillId="34" borderId="12" xfId="47" applyFill="1" applyBorder="1" applyAlignment="1">
      <alignment horizontal="center" vertical="center"/>
      <protection/>
    </xf>
    <xf numFmtId="196" fontId="0" fillId="34" borderId="12" xfId="47" applyNumberFormat="1" applyFill="1" applyBorder="1" applyAlignment="1">
      <alignment horizontal="center" vertical="center"/>
      <protection/>
    </xf>
    <xf numFmtId="0" fontId="0" fillId="0" borderId="21" xfId="47" applyBorder="1" applyAlignment="1">
      <alignment horizontal="right" vertical="center"/>
      <protection/>
    </xf>
    <xf numFmtId="0" fontId="0" fillId="0" borderId="26" xfId="47" applyBorder="1" applyAlignment="1">
      <alignment horizontal="right" vertical="center"/>
      <protection/>
    </xf>
    <xf numFmtId="177" fontId="0" fillId="0" borderId="26" xfId="47" applyNumberFormat="1" applyBorder="1" applyAlignment="1">
      <alignment horizontal="center" vertical="center"/>
      <protection/>
    </xf>
    <xf numFmtId="2" fontId="0" fillId="0" borderId="26" xfId="47" applyNumberFormat="1" applyBorder="1" applyAlignment="1">
      <alignment horizontal="right" vertical="center"/>
      <protection/>
    </xf>
    <xf numFmtId="194" fontId="0" fillId="0" borderId="26" xfId="47" applyNumberFormat="1" applyBorder="1" applyAlignment="1">
      <alignment horizontal="center" vertical="center"/>
      <protection/>
    </xf>
    <xf numFmtId="4" fontId="0" fillId="0" borderId="26" xfId="47" applyNumberFormat="1" applyBorder="1" applyAlignment="1">
      <alignment horizontal="right" vertical="center"/>
      <protection/>
    </xf>
    <xf numFmtId="0" fontId="0" fillId="36" borderId="26" xfId="47" applyFill="1" applyBorder="1" applyAlignment="1">
      <alignment horizontal="left" vertical="center"/>
      <protection/>
    </xf>
    <xf numFmtId="17" fontId="0" fillId="34" borderId="24" xfId="47" applyNumberFormat="1" applyFill="1" applyBorder="1" applyAlignment="1">
      <alignment horizontal="left" vertical="center" wrapText="1"/>
      <protection/>
    </xf>
    <xf numFmtId="4" fontId="2" fillId="4" borderId="26" xfId="48" applyNumberFormat="1" applyFont="1" applyFill="1" applyBorder="1" applyAlignment="1">
      <alignment horizontal="center" vertical="center"/>
      <protection/>
    </xf>
    <xf numFmtId="0" fontId="0" fillId="34" borderId="22" xfId="47" applyFill="1" applyBorder="1" applyAlignment="1">
      <alignment horizontal="center" vertical="center"/>
      <protection/>
    </xf>
    <xf numFmtId="17" fontId="0" fillId="34" borderId="26" xfId="47" applyNumberFormat="1" applyFill="1" applyBorder="1" applyAlignment="1">
      <alignment horizontal="left" vertical="center" wrapText="1"/>
      <protection/>
    </xf>
    <xf numFmtId="0" fontId="0" fillId="34" borderId="21" xfId="47" applyFill="1" applyBorder="1" applyAlignment="1">
      <alignment horizontal="left" vertical="center"/>
      <protection/>
    </xf>
    <xf numFmtId="4" fontId="2" fillId="4" borderId="26" xfId="47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0" fontId="72" fillId="36" borderId="0" xfId="0" applyFont="1" applyFill="1" applyAlignment="1">
      <alignment/>
    </xf>
    <xf numFmtId="4" fontId="10" fillId="36" borderId="26" xfId="0" applyNumberFormat="1" applyFont="1" applyFill="1" applyBorder="1" applyAlignment="1">
      <alignment horizontal="center"/>
    </xf>
    <xf numFmtId="4" fontId="73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right"/>
    </xf>
    <xf numFmtId="4" fontId="9" fillId="41" borderId="26" xfId="0" applyNumberFormat="1" applyFont="1" applyFill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4" fontId="9" fillId="0" borderId="26" xfId="0" applyNumberFormat="1" applyFont="1" applyBorder="1" applyAlignment="1">
      <alignment/>
    </xf>
    <xf numFmtId="43" fontId="2" fillId="36" borderId="26" xfId="0" applyNumberFormat="1" applyFont="1" applyFill="1" applyBorder="1" applyAlignment="1">
      <alignment vertical="center"/>
    </xf>
    <xf numFmtId="0" fontId="10" fillId="0" borderId="26" xfId="0" applyFont="1" applyBorder="1" applyAlignment="1">
      <alignment horizontal="center"/>
    </xf>
    <xf numFmtId="2" fontId="9" fillId="36" borderId="26" xfId="0" applyNumberFormat="1" applyFont="1" applyFill="1" applyBorder="1" applyAlignment="1">
      <alignment horizontal="center"/>
    </xf>
    <xf numFmtId="0" fontId="4" fillId="36" borderId="51" xfId="47" applyFont="1" applyFill="1" applyBorder="1" applyAlignment="1">
      <alignment horizontal="center" vertical="center"/>
      <protection/>
    </xf>
    <xf numFmtId="2" fontId="3" fillId="36" borderId="52" xfId="47" applyNumberFormat="1" applyFont="1" applyFill="1" applyBorder="1" applyAlignment="1">
      <alignment horizontal="center" vertical="center"/>
      <protection/>
    </xf>
    <xf numFmtId="0" fontId="10" fillId="42" borderId="26" xfId="0" applyFont="1" applyFill="1" applyBorder="1" applyAlignment="1">
      <alignment/>
    </xf>
    <xf numFmtId="0" fontId="10" fillId="42" borderId="22" xfId="0" applyFont="1" applyFill="1" applyBorder="1" applyAlignment="1">
      <alignment/>
    </xf>
    <xf numFmtId="0" fontId="75" fillId="42" borderId="22" xfId="0" applyFont="1" applyFill="1" applyBorder="1" applyAlignment="1">
      <alignment horizontal="left" vertical="center" wrapText="1"/>
    </xf>
    <xf numFmtId="0" fontId="9" fillId="42" borderId="17" xfId="0" applyFont="1" applyFill="1" applyBorder="1" applyAlignment="1">
      <alignment/>
    </xf>
    <xf numFmtId="0" fontId="9" fillId="42" borderId="20" xfId="0" applyFont="1" applyFill="1" applyBorder="1" applyAlignment="1">
      <alignment horizontal="center"/>
    </xf>
    <xf numFmtId="0" fontId="10" fillId="42" borderId="17" xfId="0" applyFont="1" applyFill="1" applyBorder="1" applyAlignment="1">
      <alignment/>
    </xf>
    <xf numFmtId="0" fontId="9" fillId="42" borderId="26" xfId="0" applyFont="1" applyFill="1" applyBorder="1" applyAlignment="1">
      <alignment horizontal="center"/>
    </xf>
    <xf numFmtId="0" fontId="71" fillId="0" borderId="0" xfId="0" applyFont="1" applyBorder="1" applyAlignment="1">
      <alignment/>
    </xf>
    <xf numFmtId="44" fontId="71" fillId="0" borderId="0" xfId="0" applyNumberFormat="1" applyFont="1" applyBorder="1" applyAlignment="1">
      <alignment/>
    </xf>
    <xf numFmtId="0" fontId="71" fillId="0" borderId="0" xfId="0" applyFont="1" applyBorder="1" applyAlignment="1" applyProtection="1">
      <alignment/>
      <protection locked="0"/>
    </xf>
    <xf numFmtId="44" fontId="71" fillId="0" borderId="0" xfId="0" applyNumberFormat="1" applyFont="1" applyBorder="1" applyAlignment="1" applyProtection="1">
      <alignment/>
      <protection locked="0"/>
    </xf>
    <xf numFmtId="44" fontId="71" fillId="0" borderId="0" xfId="0" applyNumberFormat="1" applyFont="1" applyBorder="1" applyAlignment="1" applyProtection="1">
      <alignment vertical="top"/>
      <protection locked="0"/>
    </xf>
    <xf numFmtId="0" fontId="10" fillId="0" borderId="45" xfId="0" applyFont="1" applyBorder="1" applyAlignment="1">
      <alignment horizontal="center" vertical="center"/>
    </xf>
    <xf numFmtId="0" fontId="4" fillId="40" borderId="44" xfId="0" applyFont="1" applyFill="1" applyBorder="1" applyAlignment="1">
      <alignment horizontal="center" vertical="center"/>
    </xf>
    <xf numFmtId="43" fontId="4" fillId="40" borderId="45" xfId="0" applyNumberFormat="1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43" fontId="3" fillId="0" borderId="45" xfId="44" applyNumberFormat="1" applyFont="1" applyBorder="1" applyAlignment="1">
      <alignment vertical="center"/>
    </xf>
    <xf numFmtId="43" fontId="4" fillId="40" borderId="45" xfId="44" applyNumberFormat="1" applyFont="1" applyFill="1" applyBorder="1" applyAlignment="1">
      <alignment vertical="center"/>
    </xf>
    <xf numFmtId="43" fontId="2" fillId="40" borderId="45" xfId="0" applyNumberFormat="1" applyFont="1" applyFill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4" fontId="16" fillId="0" borderId="30" xfId="0" applyNumberFormat="1" applyFont="1" applyBorder="1" applyAlignment="1">
      <alignment/>
    </xf>
    <xf numFmtId="0" fontId="23" fillId="0" borderId="33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49" fontId="2" fillId="36" borderId="44" xfId="0" applyNumberFormat="1" applyFont="1" applyFill="1" applyBorder="1" applyAlignment="1">
      <alignment horizontal="center" vertical="center"/>
    </xf>
    <xf numFmtId="0" fontId="10" fillId="42" borderId="44" xfId="0" applyFont="1" applyFill="1" applyBorder="1" applyAlignment="1">
      <alignment/>
    </xf>
    <xf numFmtId="4" fontId="9" fillId="0" borderId="45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/>
    </xf>
    <xf numFmtId="0" fontId="74" fillId="0" borderId="55" xfId="0" applyFont="1" applyBorder="1" applyAlignment="1">
      <alignment horizontal="center"/>
    </xf>
    <xf numFmtId="0" fontId="74" fillId="0" borderId="32" xfId="0" applyFont="1" applyBorder="1" applyAlignment="1">
      <alignment horizontal="center"/>
    </xf>
    <xf numFmtId="0" fontId="74" fillId="0" borderId="56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30" xfId="0" applyFont="1" applyBorder="1" applyAlignment="1">
      <alignment horizontal="center"/>
    </xf>
    <xf numFmtId="0" fontId="10" fillId="42" borderId="57" xfId="0" applyFont="1" applyFill="1" applyBorder="1" applyAlignment="1">
      <alignment/>
    </xf>
    <xf numFmtId="2" fontId="9" fillId="36" borderId="56" xfId="0" applyNumberFormat="1" applyFont="1" applyFill="1" applyBorder="1" applyAlignment="1">
      <alignment horizontal="left"/>
    </xf>
    <xf numFmtId="4" fontId="10" fillId="41" borderId="45" xfId="0" applyNumberFormat="1" applyFont="1" applyFill="1" applyBorder="1" applyAlignment="1">
      <alignment horizontal="center"/>
    </xf>
    <xf numFmtId="0" fontId="72" fillId="36" borderId="25" xfId="0" applyFont="1" applyFill="1" applyBorder="1" applyAlignment="1">
      <alignment/>
    </xf>
    <xf numFmtId="0" fontId="72" fillId="36" borderId="0" xfId="0" applyFont="1" applyFill="1" applyBorder="1" applyAlignment="1">
      <alignment/>
    </xf>
    <xf numFmtId="0" fontId="72" fillId="36" borderId="30" xfId="0" applyFont="1" applyFill="1" applyBorder="1" applyAlignment="1">
      <alignment/>
    </xf>
    <xf numFmtId="4" fontId="9" fillId="36" borderId="4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6" fillId="0" borderId="30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10" fillId="43" borderId="22" xfId="0" applyNumberFormat="1" applyFont="1" applyFill="1" applyBorder="1" applyAlignment="1">
      <alignment horizontal="center" vertical="center"/>
    </xf>
    <xf numFmtId="4" fontId="10" fillId="43" borderId="26" xfId="0" applyNumberFormat="1" applyFont="1" applyFill="1" applyBorder="1" applyAlignment="1">
      <alignment horizontal="center" vertical="center"/>
    </xf>
    <xf numFmtId="49" fontId="9" fillId="40" borderId="58" xfId="0" applyNumberFormat="1" applyFont="1" applyFill="1" applyBorder="1" applyAlignment="1">
      <alignment horizontal="left" vertical="center"/>
    </xf>
    <xf numFmtId="210" fontId="9" fillId="40" borderId="11" xfId="0" applyNumberFormat="1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0" fontId="9" fillId="40" borderId="41" xfId="0" applyNumberFormat="1" applyFont="1" applyFill="1" applyBorder="1" applyAlignment="1">
      <alignment horizontal="center" vertical="center"/>
    </xf>
    <xf numFmtId="0" fontId="0" fillId="43" borderId="26" xfId="0" applyFont="1" applyFill="1" applyBorder="1" applyAlignment="1">
      <alignment/>
    </xf>
    <xf numFmtId="10" fontId="2" fillId="43" borderId="26" xfId="0" applyNumberFormat="1" applyFont="1" applyFill="1" applyBorder="1" applyAlignment="1">
      <alignment/>
    </xf>
    <xf numFmtId="49" fontId="9" fillId="0" borderId="58" xfId="0" applyNumberFormat="1" applyFont="1" applyBorder="1" applyAlignment="1">
      <alignment horizontal="left" vertical="center"/>
    </xf>
    <xf numFmtId="210" fontId="9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0" fontId="9" fillId="0" borderId="58" xfId="0" applyNumberFormat="1" applyFont="1" applyBorder="1" applyAlignment="1">
      <alignment horizontal="center" vertical="center"/>
    </xf>
    <xf numFmtId="10" fontId="9" fillId="40" borderId="58" xfId="0" applyNumberFormat="1" applyFont="1" applyFill="1" applyBorder="1" applyAlignment="1">
      <alignment horizontal="center" vertical="center"/>
    </xf>
    <xf numFmtId="0" fontId="0" fillId="43" borderId="26" xfId="0" applyFill="1" applyBorder="1" applyAlignment="1">
      <alignment/>
    </xf>
    <xf numFmtId="0" fontId="9" fillId="40" borderId="10" xfId="0" applyFont="1" applyFill="1" applyBorder="1" applyAlignment="1">
      <alignment horizontal="center" vertical="center" wrapText="1"/>
    </xf>
    <xf numFmtId="10" fontId="9" fillId="0" borderId="58" xfId="0" applyNumberFormat="1" applyFont="1" applyBorder="1" applyAlignment="1">
      <alignment horizontal="center" vertical="center" wrapText="1"/>
    </xf>
    <xf numFmtId="49" fontId="9" fillId="40" borderId="58" xfId="0" applyNumberFormat="1" applyFont="1" applyFill="1" applyBorder="1" applyAlignment="1">
      <alignment horizontal="left" vertical="center" wrapText="1"/>
    </xf>
    <xf numFmtId="210" fontId="9" fillId="4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0" fontId="9" fillId="40" borderId="58" xfId="0" applyNumberFormat="1" applyFont="1" applyFill="1" applyBorder="1" applyAlignment="1">
      <alignment horizontal="center" vertical="center" wrapText="1"/>
    </xf>
    <xf numFmtId="0" fontId="2" fillId="43" borderId="26" xfId="0" applyFont="1" applyFill="1" applyBorder="1" applyAlignment="1">
      <alignment wrapText="1"/>
    </xf>
    <xf numFmtId="10" fontId="2" fillId="43" borderId="26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49" fontId="9" fillId="0" borderId="58" xfId="0" applyNumberFormat="1" applyFont="1" applyBorder="1" applyAlignment="1">
      <alignment horizontal="justify" vertical="center" wrapText="1"/>
    </xf>
    <xf numFmtId="210" fontId="9" fillId="0" borderId="11" xfId="0" applyNumberFormat="1" applyFont="1" applyBorder="1" applyAlignment="1">
      <alignment horizontal="center" vertical="center" wrapText="1"/>
    </xf>
    <xf numFmtId="10" fontId="10" fillId="43" borderId="41" xfId="0" applyNumberFormat="1" applyFont="1" applyFill="1" applyBorder="1" applyAlignment="1">
      <alignment vertical="center"/>
    </xf>
    <xf numFmtId="10" fontId="10" fillId="43" borderId="58" xfId="0" applyNumberFormat="1" applyFont="1" applyFill="1" applyBorder="1" applyAlignment="1">
      <alignment horizontal="center" vertical="center"/>
    </xf>
    <xf numFmtId="10" fontId="10" fillId="43" borderId="4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71" fillId="0" borderId="10" xfId="0" applyFont="1" applyBorder="1" applyAlignment="1">
      <alignment/>
    </xf>
    <xf numFmtId="0" fontId="71" fillId="0" borderId="17" xfId="0" applyFont="1" applyBorder="1" applyAlignment="1" applyProtection="1">
      <alignment/>
      <protection locked="0"/>
    </xf>
    <xf numFmtId="0" fontId="71" fillId="0" borderId="10" xfId="0" applyFont="1" applyBorder="1" applyAlignment="1" applyProtection="1">
      <alignment/>
      <protection locked="0"/>
    </xf>
    <xf numFmtId="0" fontId="71" fillId="0" borderId="20" xfId="0" applyFont="1" applyBorder="1" applyAlignment="1" applyProtection="1">
      <alignment/>
      <protection locked="0"/>
    </xf>
    <xf numFmtId="0" fontId="71" fillId="0" borderId="20" xfId="0" applyFont="1" applyBorder="1" applyAlignment="1">
      <alignment/>
    </xf>
    <xf numFmtId="0" fontId="71" fillId="0" borderId="12" xfId="0" applyFont="1" applyBorder="1" applyAlignment="1">
      <alignment/>
    </xf>
    <xf numFmtId="0" fontId="3" fillId="0" borderId="26" xfId="0" applyFont="1" applyBorder="1" applyAlignment="1">
      <alignment horizontal="justify" vertical="center" wrapText="1"/>
    </xf>
    <xf numFmtId="4" fontId="9" fillId="41" borderId="45" xfId="0" applyNumberFormat="1" applyFont="1" applyFill="1" applyBorder="1" applyAlignment="1">
      <alignment horizontal="center" vertical="center"/>
    </xf>
    <xf numFmtId="0" fontId="10" fillId="42" borderId="26" xfId="0" applyFont="1" applyFill="1" applyBorder="1" applyAlignment="1">
      <alignment horizontal="left"/>
    </xf>
    <xf numFmtId="4" fontId="9" fillId="0" borderId="31" xfId="0" applyNumberFormat="1" applyFont="1" applyBorder="1" applyAlignment="1">
      <alignment horizontal="left" vertical="center"/>
    </xf>
    <xf numFmtId="4" fontId="9" fillId="0" borderId="24" xfId="0" applyNumberFormat="1" applyFont="1" applyBorder="1" applyAlignment="1">
      <alignment horizontal="left" vertical="center"/>
    </xf>
    <xf numFmtId="10" fontId="71" fillId="0" borderId="0" xfId="0" applyNumberFormat="1" applyFont="1" applyBorder="1" applyAlignment="1" applyProtection="1">
      <alignment/>
      <protection locked="0"/>
    </xf>
    <xf numFmtId="172" fontId="71" fillId="0" borderId="0" xfId="44" applyFont="1" applyBorder="1" applyAlignment="1">
      <alignment horizontal="center"/>
    </xf>
    <xf numFmtId="4" fontId="9" fillId="0" borderId="24" xfId="0" applyNumberFormat="1" applyFont="1" applyBorder="1" applyAlignment="1">
      <alignment horizontal="center" vertical="center"/>
    </xf>
    <xf numFmtId="0" fontId="71" fillId="0" borderId="19" xfId="0" applyFont="1" applyBorder="1" applyAlignment="1">
      <alignment/>
    </xf>
    <xf numFmtId="9" fontId="71" fillId="0" borderId="0" xfId="0" applyNumberFormat="1" applyFont="1" applyBorder="1" applyAlignment="1">
      <alignment/>
    </xf>
    <xf numFmtId="213" fontId="71" fillId="0" borderId="0" xfId="0" applyNumberFormat="1" applyFont="1" applyBorder="1" applyAlignment="1">
      <alignment/>
    </xf>
    <xf numFmtId="10" fontId="71" fillId="0" borderId="0" xfId="0" applyNumberFormat="1" applyFont="1" applyBorder="1" applyAlignment="1">
      <alignment/>
    </xf>
    <xf numFmtId="172" fontId="71" fillId="0" borderId="0" xfId="0" applyNumberFormat="1" applyFont="1" applyBorder="1" applyAlignment="1">
      <alignment/>
    </xf>
    <xf numFmtId="0" fontId="71" fillId="0" borderId="18" xfId="0" applyFont="1" applyBorder="1" applyAlignment="1" applyProtection="1">
      <alignment vertical="top"/>
      <protection locked="0"/>
    </xf>
    <xf numFmtId="0" fontId="71" fillId="0" borderId="11" xfId="0" applyFont="1" applyBorder="1" applyAlignment="1" applyProtection="1">
      <alignment vertical="top"/>
      <protection locked="0"/>
    </xf>
    <xf numFmtId="0" fontId="71" fillId="0" borderId="24" xfId="0" applyFont="1" applyBorder="1" applyAlignment="1">
      <alignment vertical="top"/>
    </xf>
    <xf numFmtId="0" fontId="71" fillId="0" borderId="21" xfId="0" applyFont="1" applyBorder="1" applyAlignment="1" applyProtection="1">
      <alignment vertical="top"/>
      <protection locked="0"/>
    </xf>
    <xf numFmtId="2" fontId="9" fillId="36" borderId="24" xfId="0" applyNumberFormat="1" applyFont="1" applyFill="1" applyBorder="1" applyAlignment="1">
      <alignment horizontal="center" wrapText="1"/>
    </xf>
    <xf numFmtId="2" fontId="9" fillId="36" borderId="56" xfId="0" applyNumberFormat="1" applyFont="1" applyFill="1" applyBorder="1" applyAlignment="1">
      <alignment horizontal="left" vertical="center"/>
    </xf>
    <xf numFmtId="0" fontId="76" fillId="0" borderId="22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3" fontId="3" fillId="36" borderId="26" xfId="64" applyFont="1" applyFill="1" applyBorder="1" applyAlignment="1">
      <alignment horizontal="center" vertical="center" wrapText="1"/>
    </xf>
    <xf numFmtId="173" fontId="3" fillId="36" borderId="26" xfId="64" applyFont="1" applyFill="1" applyBorder="1" applyAlignment="1">
      <alignment horizontal="center" vertical="center" wrapText="1"/>
    </xf>
    <xf numFmtId="173" fontId="3" fillId="36" borderId="26" xfId="64" applyFont="1" applyFill="1" applyBorder="1" applyAlignment="1">
      <alignment horizontal="right" vertical="center"/>
    </xf>
    <xf numFmtId="173" fontId="3" fillId="36" borderId="26" xfId="64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3" fontId="4" fillId="33" borderId="26" xfId="64" applyFont="1" applyFill="1" applyBorder="1" applyAlignment="1">
      <alignment horizontal="right" vertical="center"/>
    </xf>
    <xf numFmtId="43" fontId="76" fillId="0" borderId="26" xfId="0" applyNumberFormat="1" applyFont="1" applyBorder="1" applyAlignment="1">
      <alignment horizontal="center" vertical="center"/>
    </xf>
    <xf numFmtId="173" fontId="3" fillId="36" borderId="26" xfId="64" applyFont="1" applyFill="1" applyBorder="1" applyAlignment="1">
      <alignment horizontal="right" vertical="center"/>
    </xf>
    <xf numFmtId="173" fontId="4" fillId="44" borderId="59" xfId="64" applyFont="1" applyFill="1" applyBorder="1" applyAlignment="1">
      <alignment horizontal="right" vertical="center"/>
    </xf>
    <xf numFmtId="173" fontId="4" fillId="44" borderId="60" xfId="64" applyFont="1" applyFill="1" applyBorder="1" applyAlignment="1">
      <alignment horizontal="right" vertical="center"/>
    </xf>
    <xf numFmtId="173" fontId="4" fillId="44" borderId="61" xfId="64" applyFont="1" applyFill="1" applyBorder="1" applyAlignment="1">
      <alignment horizontal="right" vertical="center"/>
    </xf>
    <xf numFmtId="173" fontId="4" fillId="44" borderId="20" xfId="64" applyFont="1" applyFill="1" applyBorder="1" applyAlignment="1">
      <alignment horizontal="right" vertical="center"/>
    </xf>
    <xf numFmtId="173" fontId="4" fillId="44" borderId="12" xfId="64" applyFont="1" applyFill="1" applyBorder="1" applyAlignment="1">
      <alignment horizontal="right" vertical="center"/>
    </xf>
    <xf numFmtId="173" fontId="4" fillId="44" borderId="21" xfId="64" applyFont="1" applyFill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3" fillId="0" borderId="26" xfId="47" applyFont="1" applyBorder="1" applyAlignment="1">
      <alignment horizontal="left" vertical="center" wrapText="1"/>
      <protection/>
    </xf>
    <xf numFmtId="0" fontId="9" fillId="45" borderId="22" xfId="0" applyFont="1" applyFill="1" applyBorder="1" applyAlignment="1" applyProtection="1">
      <alignment horizontal="center" vertical="center"/>
      <protection locked="0"/>
    </xf>
    <xf numFmtId="0" fontId="9" fillId="45" borderId="23" xfId="0" applyFont="1" applyFill="1" applyBorder="1" applyAlignment="1" applyProtection="1">
      <alignment horizontal="center" vertical="center"/>
      <protection locked="0"/>
    </xf>
    <xf numFmtId="0" fontId="9" fillId="45" borderId="24" xfId="0" applyFont="1" applyFill="1" applyBorder="1" applyAlignment="1" applyProtection="1">
      <alignment horizontal="center" vertical="center"/>
      <protection locked="0"/>
    </xf>
    <xf numFmtId="174" fontId="3" fillId="45" borderId="20" xfId="0" applyNumberFormat="1" applyFont="1" applyFill="1" applyBorder="1" applyAlignment="1" applyProtection="1">
      <alignment horizontal="left" vertical="center"/>
      <protection locked="0"/>
    </xf>
    <xf numFmtId="174" fontId="3" fillId="45" borderId="12" xfId="0" applyNumberFormat="1" applyFont="1" applyFill="1" applyBorder="1" applyAlignment="1" applyProtection="1">
      <alignment horizontal="left" vertical="center"/>
      <protection locked="0"/>
    </xf>
    <xf numFmtId="174" fontId="3" fillId="45" borderId="21" xfId="0" applyNumberFormat="1" applyFont="1" applyFill="1" applyBorder="1" applyAlignment="1" applyProtection="1">
      <alignment horizontal="left" vertical="center"/>
      <protection locked="0"/>
    </xf>
    <xf numFmtId="0" fontId="3" fillId="45" borderId="20" xfId="0" applyFont="1" applyFill="1" applyBorder="1" applyAlignment="1" applyProtection="1">
      <alignment horizontal="center" vertical="center"/>
      <protection locked="0"/>
    </xf>
    <xf numFmtId="0" fontId="3" fillId="45" borderId="21" xfId="0" applyFont="1" applyFill="1" applyBorder="1" applyAlignment="1" applyProtection="1">
      <alignment horizontal="center" vertical="center"/>
      <protection locked="0"/>
    </xf>
    <xf numFmtId="0" fontId="4" fillId="45" borderId="20" xfId="0" applyFont="1" applyFill="1" applyBorder="1" applyAlignment="1" applyProtection="1">
      <alignment horizontal="left" vertical="center"/>
      <protection locked="0"/>
    </xf>
    <xf numFmtId="0" fontId="4" fillId="45" borderId="12" xfId="0" applyFont="1" applyFill="1" applyBorder="1" applyAlignment="1" applyProtection="1">
      <alignment horizontal="left" vertical="center"/>
      <protection locked="0"/>
    </xf>
    <xf numFmtId="0" fontId="4" fillId="45" borderId="21" xfId="0" applyFont="1" applyFill="1" applyBorder="1" applyAlignment="1" applyProtection="1">
      <alignment horizontal="left" vertical="center"/>
      <protection locked="0"/>
    </xf>
    <xf numFmtId="0" fontId="3" fillId="45" borderId="20" xfId="0" applyFont="1" applyFill="1" applyBorder="1" applyAlignment="1" applyProtection="1">
      <alignment horizontal="left" vertical="center"/>
      <protection locked="0"/>
    </xf>
    <xf numFmtId="0" fontId="3" fillId="45" borderId="12" xfId="0" applyFont="1" applyFill="1" applyBorder="1" applyAlignment="1" applyProtection="1">
      <alignment horizontal="left" vertical="center"/>
      <protection locked="0"/>
    </xf>
    <xf numFmtId="0" fontId="3" fillId="45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7" fillId="32" borderId="11" xfId="0" applyFont="1" applyFill="1" applyBorder="1" applyAlignment="1">
      <alignment horizontal="right" vertical="center"/>
    </xf>
    <xf numFmtId="10" fontId="2" fillId="4" borderId="17" xfId="51" applyNumberFormat="1" applyFont="1" applyFill="1" applyBorder="1" applyAlignment="1">
      <alignment horizontal="center" vertical="center"/>
    </xf>
    <xf numFmtId="10" fontId="2" fillId="4" borderId="19" xfId="51" applyNumberFormat="1" applyFont="1" applyFill="1" applyBorder="1" applyAlignment="1">
      <alignment horizontal="center" vertical="center"/>
    </xf>
    <xf numFmtId="10" fontId="2" fillId="4" borderId="18" xfId="51" applyNumberFormat="1" applyFont="1" applyFill="1" applyBorder="1" applyAlignment="1">
      <alignment horizontal="center" vertical="center"/>
    </xf>
    <xf numFmtId="10" fontId="2" fillId="4" borderId="20" xfId="51" applyNumberFormat="1" applyFont="1" applyFill="1" applyBorder="1" applyAlignment="1">
      <alignment horizontal="center" vertical="center"/>
    </xf>
    <xf numFmtId="10" fontId="2" fillId="4" borderId="12" xfId="51" applyNumberFormat="1" applyFont="1" applyFill="1" applyBorder="1" applyAlignment="1">
      <alignment horizontal="center" vertical="center"/>
    </xf>
    <xf numFmtId="10" fontId="2" fillId="4" borderId="21" xfId="51" applyNumberFormat="1" applyFont="1" applyFill="1" applyBorder="1" applyAlignment="1">
      <alignment horizontal="center" vertical="center"/>
    </xf>
    <xf numFmtId="10" fontId="3" fillId="45" borderId="14" xfId="64" applyNumberFormat="1" applyFont="1" applyFill="1" applyBorder="1" applyAlignment="1" applyProtection="1">
      <alignment horizontal="right" vertical="center"/>
      <protection locked="0"/>
    </xf>
    <xf numFmtId="173" fontId="3" fillId="45" borderId="14" xfId="64" applyFont="1" applyFill="1" applyBorder="1" applyAlignment="1" applyProtection="1">
      <alignment horizontal="right" vertical="center"/>
      <protection locked="0"/>
    </xf>
    <xf numFmtId="10" fontId="3" fillId="45" borderId="16" xfId="64" applyNumberFormat="1" applyFont="1" applyFill="1" applyBorder="1" applyAlignment="1" applyProtection="1">
      <alignment horizontal="right" vertical="center"/>
      <protection locked="0"/>
    </xf>
    <xf numFmtId="173" fontId="3" fillId="45" borderId="16" xfId="64" applyFont="1" applyFill="1" applyBorder="1" applyAlignment="1" applyProtection="1">
      <alignment horizontal="right" vertical="center"/>
      <protection locked="0"/>
    </xf>
    <xf numFmtId="0" fontId="7" fillId="32" borderId="10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left" vertical="center"/>
    </xf>
    <xf numFmtId="0" fontId="4" fillId="33" borderId="62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63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9" fillId="0" borderId="6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/>
    </xf>
    <xf numFmtId="10" fontId="0" fillId="0" borderId="65" xfId="0" applyNumberFormat="1" applyFont="1" applyBorder="1" applyAlignment="1">
      <alignment horizontal="center" vertical="center"/>
    </xf>
    <xf numFmtId="10" fontId="3" fillId="45" borderId="50" xfId="64" applyNumberFormat="1" applyFont="1" applyFill="1" applyBorder="1" applyAlignment="1" applyProtection="1">
      <alignment horizontal="right" vertical="center"/>
      <protection locked="0"/>
    </xf>
    <xf numFmtId="173" fontId="3" fillId="45" borderId="50" xfId="64" applyFont="1" applyFill="1" applyBorder="1" applyAlignment="1" applyProtection="1">
      <alignment horizontal="right" vertical="center"/>
      <protection locked="0"/>
    </xf>
    <xf numFmtId="10" fontId="0" fillId="0" borderId="50" xfId="0" applyNumberFormat="1" applyFont="1" applyBorder="1" applyAlignment="1">
      <alignment horizontal="center" vertical="center"/>
    </xf>
    <xf numFmtId="10" fontId="0" fillId="0" borderId="66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10" fontId="0" fillId="0" borderId="6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3" fontId="4" fillId="33" borderId="17" xfId="64" applyFont="1" applyFill="1" applyBorder="1" applyAlignment="1">
      <alignment horizontal="center" vertical="center"/>
    </xf>
    <xf numFmtId="173" fontId="4" fillId="33" borderId="19" xfId="64" applyFont="1" applyFill="1" applyBorder="1" applyAlignment="1">
      <alignment horizontal="center" vertical="center"/>
    </xf>
    <xf numFmtId="173" fontId="4" fillId="33" borderId="18" xfId="64" applyFont="1" applyFill="1" applyBorder="1" applyAlignment="1">
      <alignment horizontal="center" vertical="center"/>
    </xf>
    <xf numFmtId="173" fontId="4" fillId="33" borderId="10" xfId="64" applyFont="1" applyFill="1" applyBorder="1" applyAlignment="1">
      <alignment horizontal="center" vertical="center"/>
    </xf>
    <xf numFmtId="173" fontId="4" fillId="33" borderId="0" xfId="64" applyFont="1" applyFill="1" applyAlignment="1">
      <alignment horizontal="center" vertical="center"/>
    </xf>
    <xf numFmtId="173" fontId="4" fillId="33" borderId="11" xfId="64" applyFont="1" applyFill="1" applyBorder="1" applyAlignment="1">
      <alignment horizontal="center" vertical="center"/>
    </xf>
    <xf numFmtId="173" fontId="4" fillId="33" borderId="20" xfId="64" applyFont="1" applyFill="1" applyBorder="1" applyAlignment="1">
      <alignment horizontal="center" vertical="center"/>
    </xf>
    <xf numFmtId="173" fontId="4" fillId="33" borderId="12" xfId="64" applyFont="1" applyFill="1" applyBorder="1" applyAlignment="1">
      <alignment horizontal="center" vertical="center"/>
    </xf>
    <xf numFmtId="173" fontId="4" fillId="33" borderId="21" xfId="64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76" fillId="36" borderId="26" xfId="0" applyFont="1" applyFill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textRotation="90"/>
    </xf>
    <xf numFmtId="0" fontId="4" fillId="33" borderId="58" xfId="0" applyFont="1" applyFill="1" applyBorder="1" applyAlignment="1">
      <alignment horizontal="center" vertical="center" textRotation="90"/>
    </xf>
    <xf numFmtId="0" fontId="4" fillId="33" borderId="40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173" fontId="3" fillId="33" borderId="24" xfId="64" applyFont="1" applyFill="1" applyBorder="1" applyAlignment="1">
      <alignment horizontal="right" vertical="center"/>
    </xf>
    <xf numFmtId="173" fontId="3" fillId="33" borderId="26" xfId="64" applyFont="1" applyFill="1" applyBorder="1" applyAlignment="1">
      <alignment horizontal="right" vertical="center"/>
    </xf>
    <xf numFmtId="0" fontId="14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173" fontId="4" fillId="33" borderId="44" xfId="64" applyFont="1" applyFill="1" applyBorder="1" applyAlignment="1">
      <alignment horizontal="right" vertical="center"/>
    </xf>
    <xf numFmtId="173" fontId="3" fillId="33" borderId="22" xfId="64" applyFont="1" applyFill="1" applyBorder="1" applyAlignment="1">
      <alignment horizontal="right" vertical="center"/>
    </xf>
    <xf numFmtId="0" fontId="76" fillId="0" borderId="2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10" fillId="0" borderId="4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0" fontId="4" fillId="0" borderId="31" xfId="47" applyFont="1" applyBorder="1" applyAlignment="1">
      <alignment horizontal="center" vertical="center" wrapText="1"/>
      <protection/>
    </xf>
    <xf numFmtId="0" fontId="4" fillId="0" borderId="23" xfId="47" applyFont="1" applyBorder="1" applyAlignment="1">
      <alignment horizontal="center" vertical="center" wrapText="1"/>
      <protection/>
    </xf>
    <xf numFmtId="0" fontId="4" fillId="0" borderId="39" xfId="47" applyFont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7" fontId="4" fillId="0" borderId="22" xfId="0" applyNumberFormat="1" applyFont="1" applyBorder="1" applyAlignment="1" quotePrefix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9" fillId="36" borderId="68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56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4" fillId="36" borderId="25" xfId="47" applyFont="1" applyFill="1" applyBorder="1" applyAlignment="1">
      <alignment horizontal="left" vertical="center"/>
      <protection/>
    </xf>
    <xf numFmtId="0" fontId="4" fillId="36" borderId="0" xfId="47" applyFont="1" applyFill="1" applyBorder="1" applyAlignment="1">
      <alignment horizontal="left" vertical="center"/>
      <protection/>
    </xf>
    <xf numFmtId="0" fontId="4" fillId="36" borderId="30" xfId="47" applyFont="1" applyFill="1" applyBorder="1" applyAlignment="1">
      <alignment horizontal="left" vertical="center"/>
      <protection/>
    </xf>
    <xf numFmtId="0" fontId="13" fillId="0" borderId="69" xfId="47" applyFont="1" applyBorder="1" applyAlignment="1">
      <alignment horizontal="center" vertical="center"/>
      <protection/>
    </xf>
    <xf numFmtId="0" fontId="13" fillId="0" borderId="28" xfId="47" applyFont="1" applyBorder="1" applyAlignment="1">
      <alignment horizontal="center" vertical="center"/>
      <protection/>
    </xf>
    <xf numFmtId="0" fontId="13" fillId="0" borderId="29" xfId="47" applyFont="1" applyBorder="1" applyAlignment="1">
      <alignment horizontal="center" vertical="center"/>
      <protection/>
    </xf>
    <xf numFmtId="0" fontId="13" fillId="0" borderId="10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30" xfId="47" applyFont="1" applyBorder="1" applyAlignment="1">
      <alignment horizontal="center" vertical="center"/>
      <protection/>
    </xf>
    <xf numFmtId="0" fontId="13" fillId="0" borderId="20" xfId="47" applyFont="1" applyBorder="1" applyAlignment="1">
      <alignment horizontal="center" vertical="center"/>
      <protection/>
    </xf>
    <xf numFmtId="0" fontId="13" fillId="0" borderId="12" xfId="47" applyFont="1" applyBorder="1" applyAlignment="1">
      <alignment horizontal="center" vertical="center"/>
      <protection/>
    </xf>
    <xf numFmtId="0" fontId="13" fillId="0" borderId="70" xfId="47" applyFont="1" applyBorder="1" applyAlignment="1">
      <alignment horizontal="center" vertical="center"/>
      <protection/>
    </xf>
    <xf numFmtId="2" fontId="9" fillId="36" borderId="31" xfId="0" applyNumberFormat="1" applyFont="1" applyFill="1" applyBorder="1" applyAlignment="1">
      <alignment horizontal="left"/>
    </xf>
    <xf numFmtId="2" fontId="9" fillId="36" borderId="24" xfId="0" applyNumberFormat="1" applyFont="1" applyFill="1" applyBorder="1" applyAlignment="1">
      <alignment horizontal="left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26" fillId="36" borderId="31" xfId="0" applyNumberFormat="1" applyFont="1" applyFill="1" applyBorder="1" applyAlignment="1">
      <alignment horizontal="center" vertical="center"/>
    </xf>
    <xf numFmtId="49" fontId="26" fillId="36" borderId="23" xfId="0" applyNumberFormat="1" applyFont="1" applyFill="1" applyBorder="1" applyAlignment="1">
      <alignment horizontal="center" vertical="center"/>
    </xf>
    <xf numFmtId="49" fontId="26" fillId="36" borderId="39" xfId="0" applyNumberFormat="1" applyFont="1" applyFill="1" applyBorder="1" applyAlignment="1">
      <alignment horizontal="center" vertical="center"/>
    </xf>
    <xf numFmtId="49" fontId="2" fillId="36" borderId="22" xfId="0" applyNumberFormat="1" applyFont="1" applyFill="1" applyBorder="1" applyAlignment="1">
      <alignment horizontal="center" vertical="center" wrapText="1"/>
    </xf>
    <xf numFmtId="49" fontId="2" fillId="36" borderId="23" xfId="0" applyNumberFormat="1" applyFont="1" applyFill="1" applyBorder="1" applyAlignment="1">
      <alignment horizontal="center" vertical="center" wrapText="1"/>
    </xf>
    <xf numFmtId="49" fontId="2" fillId="36" borderId="39" xfId="0" applyNumberFormat="1" applyFont="1" applyFill="1" applyBorder="1" applyAlignment="1">
      <alignment horizontal="center" vertical="center" wrapText="1"/>
    </xf>
    <xf numFmtId="0" fontId="9" fillId="42" borderId="19" xfId="0" applyFont="1" applyFill="1" applyBorder="1" applyAlignment="1">
      <alignment horizontal="left" vertical="center" wrapText="1"/>
    </xf>
    <xf numFmtId="0" fontId="9" fillId="42" borderId="55" xfId="0" applyFont="1" applyFill="1" applyBorder="1" applyAlignment="1">
      <alignment horizontal="left" vertical="center" wrapText="1"/>
    </xf>
    <xf numFmtId="0" fontId="9" fillId="42" borderId="12" xfId="0" applyFont="1" applyFill="1" applyBorder="1" applyAlignment="1">
      <alignment horizontal="left" vertical="center" wrapText="1"/>
    </xf>
    <xf numFmtId="0" fontId="9" fillId="42" borderId="70" xfId="0" applyFont="1" applyFill="1" applyBorder="1" applyAlignment="1">
      <alignment horizontal="left" vertical="center" wrapText="1"/>
    </xf>
    <xf numFmtId="0" fontId="4" fillId="36" borderId="71" xfId="47" applyFont="1" applyFill="1" applyBorder="1" applyAlignment="1">
      <alignment vertical="center"/>
      <protection/>
    </xf>
    <xf numFmtId="0" fontId="4" fillId="36" borderId="51" xfId="47" applyFont="1" applyFill="1" applyBorder="1" applyAlignment="1">
      <alignment vertical="center"/>
      <protection/>
    </xf>
    <xf numFmtId="0" fontId="77" fillId="46" borderId="31" xfId="0" applyFont="1" applyFill="1" applyBorder="1" applyAlignment="1">
      <alignment horizontal="left" vertical="center"/>
    </xf>
    <xf numFmtId="0" fontId="77" fillId="46" borderId="23" xfId="0" applyFont="1" applyFill="1" applyBorder="1" applyAlignment="1">
      <alignment horizontal="left" vertical="center"/>
    </xf>
    <xf numFmtId="0" fontId="77" fillId="46" borderId="39" xfId="0" applyFont="1" applyFill="1" applyBorder="1" applyAlignment="1">
      <alignment horizontal="left" vertical="center"/>
    </xf>
    <xf numFmtId="0" fontId="9" fillId="42" borderId="17" xfId="0" applyFont="1" applyFill="1" applyBorder="1" applyAlignment="1">
      <alignment horizontal="left" vertical="center" wrapText="1"/>
    </xf>
    <xf numFmtId="0" fontId="9" fillId="42" borderId="19" xfId="0" applyFont="1" applyFill="1" applyBorder="1" applyAlignment="1">
      <alignment horizontal="left" vertical="center"/>
    </xf>
    <xf numFmtId="0" fontId="9" fillId="42" borderId="55" xfId="0" applyFont="1" applyFill="1" applyBorder="1" applyAlignment="1">
      <alignment horizontal="left" vertical="center"/>
    </xf>
    <xf numFmtId="0" fontId="9" fillId="42" borderId="20" xfId="0" applyFont="1" applyFill="1" applyBorder="1" applyAlignment="1">
      <alignment horizontal="left" vertical="center"/>
    </xf>
    <xf numFmtId="0" fontId="9" fillId="42" borderId="12" xfId="0" applyFont="1" applyFill="1" applyBorder="1" applyAlignment="1">
      <alignment horizontal="left" vertical="center"/>
    </xf>
    <xf numFmtId="0" fontId="9" fillId="42" borderId="70" xfId="0" applyFont="1" applyFill="1" applyBorder="1" applyAlignment="1">
      <alignment horizontal="left" vertical="center"/>
    </xf>
    <xf numFmtId="0" fontId="10" fillId="0" borderId="3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9" fillId="42" borderId="41" xfId="0" applyFont="1" applyFill="1" applyBorder="1" applyAlignment="1">
      <alignment horizontal="center"/>
    </xf>
    <xf numFmtId="0" fontId="9" fillId="42" borderId="40" xfId="0" applyFont="1" applyFill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2" fontId="10" fillId="36" borderId="31" xfId="0" applyNumberFormat="1" applyFont="1" applyFill="1" applyBorder="1" applyAlignment="1">
      <alignment horizontal="center"/>
    </xf>
    <xf numFmtId="2" fontId="10" fillId="36" borderId="24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42" borderId="17" xfId="0" applyFont="1" applyFill="1" applyBorder="1" applyAlignment="1" quotePrefix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left" vertical="center"/>
    </xf>
    <xf numFmtId="4" fontId="9" fillId="0" borderId="24" xfId="0" applyNumberFormat="1" applyFont="1" applyBorder="1" applyAlignment="1">
      <alignment horizontal="left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42" borderId="17" xfId="0" applyFont="1" applyFill="1" applyBorder="1" applyAlignment="1">
      <alignment horizontal="left" vertical="justify" wrapText="1"/>
    </xf>
    <xf numFmtId="0" fontId="9" fillId="42" borderId="19" xfId="0" applyFont="1" applyFill="1" applyBorder="1" applyAlignment="1">
      <alignment horizontal="left" vertical="justify" wrapText="1"/>
    </xf>
    <xf numFmtId="0" fontId="9" fillId="42" borderId="55" xfId="0" applyFont="1" applyFill="1" applyBorder="1" applyAlignment="1">
      <alignment horizontal="left" vertical="justify" wrapText="1"/>
    </xf>
    <xf numFmtId="0" fontId="9" fillId="42" borderId="20" xfId="0" applyFont="1" applyFill="1" applyBorder="1" applyAlignment="1">
      <alignment horizontal="left" vertical="justify" wrapText="1"/>
    </xf>
    <xf numFmtId="0" fontId="9" fillId="42" borderId="12" xfId="0" applyFont="1" applyFill="1" applyBorder="1" applyAlignment="1">
      <alignment horizontal="left" vertical="justify" wrapText="1"/>
    </xf>
    <xf numFmtId="0" fontId="9" fillId="42" borderId="70" xfId="0" applyFont="1" applyFill="1" applyBorder="1" applyAlignment="1">
      <alignment horizontal="left" vertical="justify" wrapText="1"/>
    </xf>
    <xf numFmtId="0" fontId="9" fillId="0" borderId="2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9" fillId="42" borderId="17" xfId="0" applyFont="1" applyFill="1" applyBorder="1" applyAlignment="1">
      <alignment vertical="center" wrapText="1"/>
    </xf>
    <xf numFmtId="0" fontId="9" fillId="42" borderId="19" xfId="0" applyFont="1" applyFill="1" applyBorder="1" applyAlignment="1">
      <alignment vertical="center" wrapText="1"/>
    </xf>
    <xf numFmtId="0" fontId="9" fillId="42" borderId="55" xfId="0" applyFont="1" applyFill="1" applyBorder="1" applyAlignment="1">
      <alignment vertical="center" wrapText="1"/>
    </xf>
    <xf numFmtId="0" fontId="9" fillId="42" borderId="20" xfId="0" applyFont="1" applyFill="1" applyBorder="1" applyAlignment="1">
      <alignment vertical="center" wrapText="1"/>
    </xf>
    <xf numFmtId="0" fontId="9" fillId="42" borderId="12" xfId="0" applyFont="1" applyFill="1" applyBorder="1" applyAlignment="1">
      <alignment vertical="center" wrapText="1"/>
    </xf>
    <xf numFmtId="0" fontId="9" fillId="42" borderId="70" xfId="0" applyFont="1" applyFill="1" applyBorder="1" applyAlignment="1">
      <alignment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42" borderId="26" xfId="0" applyFont="1" applyFill="1" applyBorder="1" applyAlignment="1">
      <alignment horizontal="left" vertical="center" wrapText="1"/>
    </xf>
    <xf numFmtId="0" fontId="9" fillId="42" borderId="45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 horizontal="right"/>
    </xf>
    <xf numFmtId="0" fontId="71" fillId="0" borderId="26" xfId="0" applyFont="1" applyBorder="1" applyAlignment="1" applyProtection="1">
      <alignment horizontal="center" vertical="center"/>
      <protection locked="0"/>
    </xf>
    <xf numFmtId="0" fontId="78" fillId="0" borderId="26" xfId="0" applyFont="1" applyBorder="1" applyAlignment="1" applyProtection="1">
      <alignment horizontal="center"/>
      <protection locked="0"/>
    </xf>
    <xf numFmtId="0" fontId="71" fillId="0" borderId="26" xfId="0" applyFont="1" applyBorder="1" applyAlignment="1" applyProtection="1">
      <alignment horizontal="left" vertical="center"/>
      <protection locked="0"/>
    </xf>
    <xf numFmtId="0" fontId="71" fillId="0" borderId="10" xfId="0" applyFont="1" applyBorder="1" applyAlignment="1" applyProtection="1">
      <alignment horizontal="right" vertical="center"/>
      <protection locked="0"/>
    </xf>
    <xf numFmtId="0" fontId="71" fillId="0" borderId="0" xfId="0" applyFont="1" applyBorder="1" applyAlignment="1" applyProtection="1">
      <alignment horizontal="right" vertical="center"/>
      <protection locked="0"/>
    </xf>
    <xf numFmtId="172" fontId="71" fillId="0" borderId="0" xfId="44" applyFont="1" applyBorder="1" applyAlignment="1" applyProtection="1">
      <alignment horizontal="left" vertical="center"/>
      <protection locked="0"/>
    </xf>
    <xf numFmtId="172" fontId="71" fillId="0" borderId="11" xfId="44" applyFont="1" applyBorder="1" applyAlignment="1" applyProtection="1">
      <alignment horizontal="left" vertical="center"/>
      <protection locked="0"/>
    </xf>
    <xf numFmtId="0" fontId="71" fillId="0" borderId="26" xfId="0" applyFont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10" fontId="71" fillId="0" borderId="0" xfId="0" applyNumberFormat="1" applyFont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center"/>
      <protection locked="0"/>
    </xf>
    <xf numFmtId="10" fontId="71" fillId="0" borderId="12" xfId="0" applyNumberFormat="1" applyFont="1" applyBorder="1" applyAlignment="1" applyProtection="1">
      <alignment horizontal="left"/>
      <protection locked="0"/>
    </xf>
    <xf numFmtId="0" fontId="71" fillId="0" borderId="12" xfId="0" applyFont="1" applyBorder="1" applyAlignment="1" applyProtection="1">
      <alignment horizontal="left"/>
      <protection locked="0"/>
    </xf>
    <xf numFmtId="10" fontId="71" fillId="0" borderId="19" xfId="0" applyNumberFormat="1" applyFont="1" applyBorder="1" applyAlignment="1" applyProtection="1">
      <alignment horizontal="center" vertical="center"/>
      <protection locked="0"/>
    </xf>
    <xf numFmtId="10" fontId="71" fillId="0" borderId="18" xfId="0" applyNumberFormat="1" applyFont="1" applyBorder="1" applyAlignment="1" applyProtection="1">
      <alignment horizontal="center" vertical="center"/>
      <protection locked="0"/>
    </xf>
    <xf numFmtId="10" fontId="71" fillId="0" borderId="11" xfId="0" applyNumberFormat="1" applyFont="1" applyBorder="1" applyAlignment="1" applyProtection="1">
      <alignment horizontal="center"/>
      <protection locked="0"/>
    </xf>
    <xf numFmtId="44" fontId="71" fillId="0" borderId="12" xfId="0" applyNumberFormat="1" applyFont="1" applyBorder="1" applyAlignment="1" applyProtection="1">
      <alignment horizontal="center"/>
      <protection locked="0"/>
    </xf>
    <xf numFmtId="44" fontId="71" fillId="0" borderId="21" xfId="0" applyNumberFormat="1" applyFont="1" applyBorder="1" applyAlignment="1" applyProtection="1">
      <alignment horizontal="center"/>
      <protection locked="0"/>
    </xf>
    <xf numFmtId="10" fontId="71" fillId="0" borderId="12" xfId="0" applyNumberFormat="1" applyFont="1" applyBorder="1" applyAlignment="1" applyProtection="1">
      <alignment horizontal="center"/>
      <protection locked="0"/>
    </xf>
    <xf numFmtId="0" fontId="71" fillId="0" borderId="12" xfId="0" applyFont="1" applyBorder="1" applyAlignment="1" applyProtection="1">
      <alignment horizontal="center"/>
      <protection locked="0"/>
    </xf>
    <xf numFmtId="0" fontId="71" fillId="0" borderId="19" xfId="0" applyFont="1" applyBorder="1" applyAlignment="1" applyProtection="1">
      <alignment horizontal="center" vertical="center"/>
      <protection locked="0"/>
    </xf>
    <xf numFmtId="0" fontId="0" fillId="36" borderId="22" xfId="47" applyFill="1" applyBorder="1" applyAlignment="1">
      <alignment horizontal="right" vertical="center"/>
      <protection/>
    </xf>
    <xf numFmtId="0" fontId="0" fillId="36" borderId="24" xfId="47" applyFill="1" applyBorder="1" applyAlignment="1">
      <alignment horizontal="right" vertical="center"/>
      <protection/>
    </xf>
    <xf numFmtId="0" fontId="2" fillId="36" borderId="22" xfId="47" applyFont="1" applyFill="1" applyBorder="1" applyAlignment="1">
      <alignment horizontal="center" vertical="center"/>
      <protection/>
    </xf>
    <xf numFmtId="0" fontId="2" fillId="36" borderId="24" xfId="47" applyFont="1" applyFill="1" applyBorder="1" applyAlignment="1">
      <alignment horizontal="center" vertical="center"/>
      <protection/>
    </xf>
    <xf numFmtId="0" fontId="0" fillId="34" borderId="22" xfId="47" applyFill="1" applyBorder="1" applyAlignment="1">
      <alignment horizontal="center" vertical="center"/>
      <protection/>
    </xf>
    <xf numFmtId="0" fontId="0" fillId="34" borderId="23" xfId="47" applyFill="1" applyBorder="1" applyAlignment="1">
      <alignment horizontal="center" vertical="center"/>
      <protection/>
    </xf>
    <xf numFmtId="0" fontId="0" fillId="34" borderId="24" xfId="47" applyFill="1" applyBorder="1" applyAlignment="1">
      <alignment horizontal="center" vertical="center"/>
      <protection/>
    </xf>
    <xf numFmtId="0" fontId="0" fillId="0" borderId="22" xfId="47" applyBorder="1" applyAlignment="1">
      <alignment vertical="center"/>
      <protection/>
    </xf>
    <xf numFmtId="0" fontId="0" fillId="0" borderId="23" xfId="47" applyBorder="1" applyAlignment="1">
      <alignment vertical="center"/>
      <protection/>
    </xf>
    <xf numFmtId="0" fontId="0" fillId="0" borderId="24" xfId="47" applyBorder="1" applyAlignment="1">
      <alignment vertical="center"/>
      <protection/>
    </xf>
    <xf numFmtId="0" fontId="2" fillId="0" borderId="22" xfId="47" applyFont="1" applyBorder="1" applyAlignment="1">
      <alignment horizontal="center" vertical="center"/>
      <protection/>
    </xf>
    <xf numFmtId="0" fontId="2" fillId="0" borderId="23" xfId="47" applyFont="1" applyBorder="1" applyAlignment="1">
      <alignment horizontal="center" vertical="center"/>
      <protection/>
    </xf>
    <xf numFmtId="0" fontId="2" fillId="0" borderId="24" xfId="47" applyFont="1" applyBorder="1" applyAlignment="1">
      <alignment horizontal="center" vertical="center"/>
      <protection/>
    </xf>
    <xf numFmtId="0" fontId="0" fillId="36" borderId="23" xfId="47" applyFill="1" applyBorder="1" applyAlignment="1">
      <alignment horizontal="right" vertical="center"/>
      <protection/>
    </xf>
    <xf numFmtId="0" fontId="0" fillId="36" borderId="22" xfId="47" applyFill="1" applyBorder="1" applyAlignment="1">
      <alignment horizontal="left" vertical="center" wrapText="1"/>
      <protection/>
    </xf>
    <xf numFmtId="0" fontId="0" fillId="36" borderId="24" xfId="47" applyFill="1" applyBorder="1" applyAlignment="1">
      <alignment horizontal="left" vertical="center" wrapText="1"/>
      <protection/>
    </xf>
    <xf numFmtId="0" fontId="2" fillId="4" borderId="20" xfId="48" applyFont="1" applyFill="1" applyBorder="1" applyAlignment="1">
      <alignment horizontal="center" vertical="center" wrapText="1"/>
      <protection/>
    </xf>
    <xf numFmtId="0" fontId="2" fillId="4" borderId="12" xfId="48" applyFont="1" applyFill="1" applyBorder="1" applyAlignment="1">
      <alignment horizontal="center" vertical="center" wrapText="1"/>
      <protection/>
    </xf>
    <xf numFmtId="0" fontId="2" fillId="4" borderId="21" xfId="48" applyFont="1" applyFill="1" applyBorder="1" applyAlignment="1">
      <alignment horizontal="center" vertical="center" wrapText="1"/>
      <protection/>
    </xf>
    <xf numFmtId="0" fontId="2" fillId="36" borderId="23" xfId="47" applyFont="1" applyFill="1" applyBorder="1" applyAlignment="1">
      <alignment horizontal="center" vertical="center"/>
      <protection/>
    </xf>
    <xf numFmtId="0" fontId="2" fillId="0" borderId="22" xfId="47" applyFont="1" applyBorder="1" applyAlignment="1">
      <alignment horizontal="left" vertical="center" wrapText="1"/>
      <protection/>
    </xf>
    <xf numFmtId="0" fontId="2" fillId="0" borderId="23" xfId="47" applyFont="1" applyBorder="1" applyAlignment="1">
      <alignment horizontal="left" vertical="center" wrapText="1"/>
      <protection/>
    </xf>
    <xf numFmtId="0" fontId="2" fillId="0" borderId="24" xfId="47" applyFont="1" applyBorder="1" applyAlignment="1">
      <alignment horizontal="left" vertical="center" wrapText="1"/>
      <protection/>
    </xf>
    <xf numFmtId="0" fontId="0" fillId="0" borderId="22" xfId="47" applyBorder="1" applyAlignment="1">
      <alignment horizontal="right" vertical="center"/>
      <protection/>
    </xf>
    <xf numFmtId="0" fontId="0" fillId="0" borderId="23" xfId="47" applyBorder="1" applyAlignment="1">
      <alignment horizontal="right" vertical="center"/>
      <protection/>
    </xf>
    <xf numFmtId="0" fontId="0" fillId="0" borderId="24" xfId="47" applyBorder="1" applyAlignment="1">
      <alignment horizontal="right" vertical="center"/>
      <protection/>
    </xf>
    <xf numFmtId="0" fontId="0" fillId="0" borderId="22" xfId="47" applyBorder="1" applyAlignment="1">
      <alignment horizontal="left" vertical="center" wrapText="1"/>
      <protection/>
    </xf>
    <xf numFmtId="0" fontId="0" fillId="0" borderId="24" xfId="47" applyBorder="1" applyAlignment="1">
      <alignment horizontal="left" vertical="center" wrapText="1"/>
      <protection/>
    </xf>
    <xf numFmtId="2" fontId="0" fillId="34" borderId="22" xfId="47" applyNumberFormat="1" applyFill="1" applyBorder="1" applyAlignment="1">
      <alignment horizontal="left" vertical="center"/>
      <protection/>
    </xf>
    <xf numFmtId="2" fontId="0" fillId="34" borderId="23" xfId="47" applyNumberFormat="1" applyFill="1" applyBorder="1" applyAlignment="1">
      <alignment horizontal="left" vertical="center"/>
      <protection/>
    </xf>
    <xf numFmtId="2" fontId="0" fillId="34" borderId="24" xfId="47" applyNumberFormat="1" applyFill="1" applyBorder="1" applyAlignment="1">
      <alignment horizontal="left" vertical="center"/>
      <protection/>
    </xf>
    <xf numFmtId="0" fontId="2" fillId="4" borderId="22" xfId="48" applyFont="1" applyFill="1" applyBorder="1" applyAlignment="1">
      <alignment horizontal="left" vertical="center"/>
      <protection/>
    </xf>
    <xf numFmtId="0" fontId="2" fillId="4" borderId="23" xfId="48" applyFont="1" applyFill="1" applyBorder="1" applyAlignment="1">
      <alignment horizontal="left" vertical="center"/>
      <protection/>
    </xf>
    <xf numFmtId="0" fontId="2" fillId="4" borderId="24" xfId="48" applyFont="1" applyFill="1" applyBorder="1" applyAlignment="1">
      <alignment horizontal="left" vertical="center"/>
      <protection/>
    </xf>
    <xf numFmtId="0" fontId="0" fillId="0" borderId="22" xfId="47" applyBorder="1" applyAlignment="1">
      <alignment horizontal="center" vertical="center"/>
      <protection/>
    </xf>
    <xf numFmtId="0" fontId="0" fillId="0" borderId="24" xfId="47" applyBorder="1" applyAlignment="1">
      <alignment horizontal="center" vertical="center"/>
      <protection/>
    </xf>
    <xf numFmtId="0" fontId="2" fillId="4" borderId="22" xfId="47" applyFont="1" applyFill="1" applyBorder="1" applyAlignment="1">
      <alignment horizontal="left" vertical="center"/>
      <protection/>
    </xf>
    <xf numFmtId="0" fontId="2" fillId="4" borderId="23" xfId="47" applyFont="1" applyFill="1" applyBorder="1" applyAlignment="1">
      <alignment horizontal="left" vertical="center"/>
      <protection/>
    </xf>
    <xf numFmtId="0" fontId="2" fillId="4" borderId="24" xfId="47" applyFont="1" applyFill="1" applyBorder="1" applyAlignment="1">
      <alignment horizontal="left" vertical="center"/>
      <protection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25" fillId="4" borderId="22" xfId="49" applyFont="1" applyFill="1" applyBorder="1" applyAlignment="1">
      <alignment horizontal="center" vertical="center" wrapText="1"/>
      <protection/>
    </xf>
    <xf numFmtId="3" fontId="25" fillId="4" borderId="23" xfId="49" applyFont="1" applyFill="1" applyBorder="1" applyAlignment="1">
      <alignment horizontal="center" vertical="center" wrapText="1"/>
      <protection/>
    </xf>
    <xf numFmtId="3" fontId="25" fillId="4" borderId="24" xfId="49" applyFont="1" applyFill="1" applyBorder="1" applyAlignment="1">
      <alignment horizontal="center" vertical="center" wrapText="1"/>
      <protection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3" fillId="0" borderId="71" xfId="0" applyFont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53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4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93" fontId="0" fillId="47" borderId="22" xfId="0" applyNumberFormat="1" applyFill="1" applyBorder="1" applyAlignment="1">
      <alignment horizontal="left"/>
    </xf>
    <xf numFmtId="193" fontId="0" fillId="47" borderId="24" xfId="0" applyNumberFormat="1" applyFill="1" applyBorder="1" applyAlignment="1">
      <alignment horizontal="left"/>
    </xf>
    <xf numFmtId="0" fontId="9" fillId="0" borderId="22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193" fontId="0" fillId="0" borderId="22" xfId="0" applyNumberFormat="1" applyBorder="1" applyAlignment="1">
      <alignment horizontal="center"/>
    </xf>
    <xf numFmtId="193" fontId="0" fillId="0" borderId="24" xfId="0" applyNumberFormat="1" applyBorder="1" applyAlignment="1">
      <alignment horizontal="center"/>
    </xf>
    <xf numFmtId="193" fontId="0" fillId="47" borderId="22" xfId="0" applyNumberFormat="1" applyFill="1" applyBorder="1" applyAlignment="1">
      <alignment horizontal="center"/>
    </xf>
    <xf numFmtId="193" fontId="0" fillId="47" borderId="24" xfId="0" applyNumberFormat="1" applyFill="1" applyBorder="1" applyAlignment="1">
      <alignment horizontal="center"/>
    </xf>
    <xf numFmtId="199" fontId="0" fillId="0" borderId="22" xfId="0" applyNumberFormat="1" applyBorder="1" applyAlignment="1">
      <alignment horizontal="center"/>
    </xf>
    <xf numFmtId="199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/>
    </xf>
    <xf numFmtId="193" fontId="2" fillId="0" borderId="22" xfId="0" applyNumberFormat="1" applyFont="1" applyBorder="1" applyAlignment="1">
      <alignment horizontal="left"/>
    </xf>
    <xf numFmtId="193" fontId="2" fillId="0" borderId="24" xfId="0" applyNumberFormat="1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3" borderId="22" xfId="0" applyFont="1" applyFill="1" applyBorder="1" applyAlignment="1">
      <alignment horizontal="center"/>
    </xf>
    <xf numFmtId="0" fontId="2" fillId="43" borderId="23" xfId="0" applyFont="1" applyFill="1" applyBorder="1" applyAlignment="1">
      <alignment horizontal="center"/>
    </xf>
    <xf numFmtId="0" fontId="2" fillId="43" borderId="24" xfId="0" applyFont="1" applyFill="1" applyBorder="1" applyAlignment="1">
      <alignment horizontal="center"/>
    </xf>
    <xf numFmtId="0" fontId="10" fillId="43" borderId="20" xfId="0" applyFont="1" applyFill="1" applyBorder="1" applyAlignment="1">
      <alignment horizontal="center"/>
    </xf>
    <xf numFmtId="0" fontId="10" fillId="43" borderId="21" xfId="0" applyFont="1" applyFill="1" applyBorder="1" applyAlignment="1">
      <alignment horizontal="center"/>
    </xf>
    <xf numFmtId="0" fontId="10" fillId="43" borderId="12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43" borderId="22" xfId="0" applyFont="1" applyFill="1" applyBorder="1" applyAlignment="1">
      <alignment horizontal="center" vertical="center"/>
    </xf>
    <xf numFmtId="0" fontId="10" fillId="43" borderId="24" xfId="0" applyFont="1" applyFill="1" applyBorder="1" applyAlignment="1">
      <alignment horizontal="center" vertical="center"/>
    </xf>
    <xf numFmtId="0" fontId="2" fillId="43" borderId="26" xfId="0" applyFont="1" applyFill="1" applyBorder="1" applyAlignment="1">
      <alignment horizontal="center"/>
    </xf>
    <xf numFmtId="49" fontId="9" fillId="43" borderId="17" xfId="0" applyNumberFormat="1" applyFont="1" applyFill="1" applyBorder="1" applyAlignment="1">
      <alignment horizontal="center" vertical="center"/>
    </xf>
    <xf numFmtId="49" fontId="9" fillId="43" borderId="18" xfId="0" applyNumberFormat="1" applyFont="1" applyFill="1" applyBorder="1" applyAlignment="1">
      <alignment horizontal="center" vertical="center"/>
    </xf>
    <xf numFmtId="0" fontId="10" fillId="43" borderId="41" xfId="0" applyFont="1" applyFill="1" applyBorder="1" applyAlignment="1">
      <alignment horizontal="center" vertical="center"/>
    </xf>
    <xf numFmtId="0" fontId="10" fillId="43" borderId="58" xfId="0" applyFont="1" applyFill="1" applyBorder="1" applyAlignment="1">
      <alignment horizontal="center" vertical="center"/>
    </xf>
    <xf numFmtId="0" fontId="10" fillId="43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 wrapText="1"/>
    </xf>
    <xf numFmtId="49" fontId="10" fillId="43" borderId="10" xfId="0" applyNumberFormat="1" applyFont="1" applyFill="1" applyBorder="1" applyAlignment="1">
      <alignment horizontal="center"/>
    </xf>
    <xf numFmtId="49" fontId="10" fillId="43" borderId="11" xfId="0" applyNumberFormat="1" applyFont="1" applyFill="1" applyBorder="1" applyAlignment="1">
      <alignment horizontal="center"/>
    </xf>
    <xf numFmtId="49" fontId="10" fillId="43" borderId="20" xfId="0" applyNumberFormat="1" applyFont="1" applyFill="1" applyBorder="1" applyAlignment="1">
      <alignment horizontal="center" vertical="top"/>
    </xf>
    <xf numFmtId="49" fontId="10" fillId="43" borderId="21" xfId="0" applyNumberFormat="1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0" fontId="19" fillId="36" borderId="78" xfId="47" applyFont="1" applyFill="1" applyBorder="1" applyAlignment="1">
      <alignment horizontal="center" vertical="center"/>
      <protection/>
    </xf>
    <xf numFmtId="0" fontId="19" fillId="36" borderId="79" xfId="47" applyFont="1" applyFill="1" applyBorder="1" applyAlignment="1">
      <alignment horizontal="center" vertical="center"/>
      <protection/>
    </xf>
    <xf numFmtId="0" fontId="79" fillId="36" borderId="78" xfId="47" applyFont="1" applyFill="1" applyBorder="1" applyAlignment="1">
      <alignment horizontal="center" vertical="center" wrapText="1"/>
      <protection/>
    </xf>
    <xf numFmtId="0" fontId="79" fillId="36" borderId="80" xfId="47" applyFont="1" applyFill="1" applyBorder="1" applyAlignment="1">
      <alignment horizontal="center" vertical="center" wrapText="1"/>
      <protection/>
    </xf>
    <xf numFmtId="0" fontId="79" fillId="36" borderId="79" xfId="47" applyFont="1" applyFill="1" applyBorder="1" applyAlignment="1">
      <alignment horizontal="center" vertical="center" wrapText="1"/>
      <protection/>
    </xf>
    <xf numFmtId="0" fontId="0" fillId="0" borderId="23" xfId="47" applyBorder="1" applyAlignment="1">
      <alignment horizontal="left" vertical="center" wrapText="1"/>
      <protection/>
    </xf>
    <xf numFmtId="0" fontId="0" fillId="0" borderId="22" xfId="47" applyBorder="1" applyAlignment="1">
      <alignment horizontal="left" vertical="center"/>
      <protection/>
    </xf>
    <xf numFmtId="0" fontId="0" fillId="0" borderId="24" xfId="47" applyBorder="1" applyAlignment="1">
      <alignment horizontal="left" vertical="center"/>
      <protection/>
    </xf>
    <xf numFmtId="0" fontId="0" fillId="36" borderId="22" xfId="47" applyFill="1" applyBorder="1" applyAlignment="1">
      <alignment horizontal="center" vertical="center" wrapText="1"/>
      <protection/>
    </xf>
    <xf numFmtId="0" fontId="0" fillId="36" borderId="24" xfId="47" applyFill="1" applyBorder="1" applyAlignment="1">
      <alignment horizontal="center" vertical="center" wrapText="1"/>
      <protection/>
    </xf>
    <xf numFmtId="0" fontId="2" fillId="39" borderId="22" xfId="47" applyFont="1" applyFill="1" applyBorder="1" applyAlignment="1">
      <alignment horizontal="left" vertical="center"/>
      <protection/>
    </xf>
    <xf numFmtId="0" fontId="2" fillId="39" borderId="23" xfId="47" applyFont="1" applyFill="1" applyBorder="1" applyAlignment="1">
      <alignment horizontal="left" vertical="center"/>
      <protection/>
    </xf>
    <xf numFmtId="0" fontId="2" fillId="39" borderId="24" xfId="47" applyFont="1" applyFill="1" applyBorder="1" applyAlignment="1">
      <alignment horizontal="left" vertical="center"/>
      <protection/>
    </xf>
    <xf numFmtId="0" fontId="19" fillId="36" borderId="22" xfId="47" applyFont="1" applyFill="1" applyBorder="1" applyAlignment="1">
      <alignment horizontal="center" vertical="center"/>
      <protection/>
    </xf>
    <xf numFmtId="0" fontId="19" fillId="36" borderId="24" xfId="47" applyFont="1" applyFill="1" applyBorder="1" applyAlignment="1">
      <alignment horizontal="center" vertical="center"/>
      <protection/>
    </xf>
    <xf numFmtId="0" fontId="79" fillId="36" borderId="22" xfId="47" applyFont="1" applyFill="1" applyBorder="1" applyAlignment="1">
      <alignment horizontal="center" vertical="center" wrapText="1"/>
      <protection/>
    </xf>
    <xf numFmtId="0" fontId="79" fillId="36" borderId="23" xfId="47" applyFont="1" applyFill="1" applyBorder="1" applyAlignment="1">
      <alignment horizontal="center" vertical="center" wrapText="1"/>
      <protection/>
    </xf>
    <xf numFmtId="0" fontId="79" fillId="36" borderId="24" xfId="47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2" fillId="39" borderId="22" xfId="47" applyFont="1" applyFill="1" applyBorder="1" applyAlignment="1">
      <alignment horizontal="center" vertical="center"/>
      <protection/>
    </xf>
    <xf numFmtId="0" fontId="2" fillId="39" borderId="23" xfId="47" applyFont="1" applyFill="1" applyBorder="1" applyAlignment="1">
      <alignment horizontal="center" vertical="center"/>
      <protection/>
    </xf>
    <xf numFmtId="0" fontId="2" fillId="39" borderId="24" xfId="47" applyFont="1" applyFill="1" applyBorder="1" applyAlignment="1">
      <alignment horizontal="center" vertical="center"/>
      <protection/>
    </xf>
    <xf numFmtId="0" fontId="80" fillId="48" borderId="27" xfId="0" applyFont="1" applyFill="1" applyBorder="1" applyAlignment="1">
      <alignment horizontal="center" vertical="center"/>
    </xf>
    <xf numFmtId="0" fontId="80" fillId="48" borderId="28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 2" xfId="47"/>
    <cellStyle name="Normal 2 2 2" xfId="48"/>
    <cellStyle name="Normal_Estrutura_de_preços_-_CODEVASF_versão10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5" xfId="66"/>
  </cellStyles>
  <dxfs count="1"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>
      <xdr:nvSpPr>
        <xdr:cNvPr id="1" name="Oval 1"/>
        <xdr:cNvSpPr>
          <a:spLocks/>
        </xdr:cNvSpPr>
      </xdr:nvSpPr>
      <xdr:spPr>
        <a:xfrm>
          <a:off x="9067800" y="2295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" name="Desenhando 59"/>
        <xdr:cNvSpPr>
          <a:spLocks/>
        </xdr:cNvSpPr>
      </xdr:nvSpPr>
      <xdr:spPr>
        <a:xfrm>
          <a:off x="10601325" y="229552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601325" y="229552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447800" y="2295525"/>
          <a:ext cx="869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57150</xdr:colOff>
      <xdr:row>1</xdr:row>
      <xdr:rowOff>9525</xdr:rowOff>
    </xdr:from>
    <xdr:to>
      <xdr:col>10</xdr:col>
      <xdr:colOff>28575</xdr:colOff>
      <xdr:row>3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2600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20</xdr:col>
      <xdr:colOff>180975</xdr:colOff>
      <xdr:row>16</xdr:row>
      <xdr:rowOff>38100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25742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34</xdr:col>
      <xdr:colOff>85725</xdr:colOff>
      <xdr:row>16</xdr:row>
      <xdr:rowOff>38100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8600" y="2257425"/>
          <a:ext cx="1524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1</xdr:col>
      <xdr:colOff>2343150</xdr:colOff>
      <xdr:row>0</xdr:row>
      <xdr:rowOff>1123950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2695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4</xdr:row>
      <xdr:rowOff>85725</xdr:rowOff>
    </xdr:from>
    <xdr:to>
      <xdr:col>1</xdr:col>
      <xdr:colOff>1171575</xdr:colOff>
      <xdr:row>7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8150"/>
          <a:ext cx="2695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-beane\Usuario\Pessoal\S&#195;O%20JO&#195;O%20DA%20PONTE\GIN&#193;SIO%20POLIESPORTIVO%20-%20MINIST&#201;RIO%20DO%20ESPORTE%20-%20NOV%202008\C&#243;pia%20de%20PLANILHA%20-%20MTUR%20-individ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CI"/>
      <sheetName val="PL POUSO ALTO"/>
      <sheetName val="CRON POUSO ALTO"/>
      <sheetName val="PL BOA SORTE"/>
      <sheetName val="CRON BOA SORTE"/>
    </sheetNames>
    <sheetDataSet>
      <sheetData sheetId="3">
        <row r="10">
          <cell r="C10" t="str">
            <v>SERVICOS PRELIMINARES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AV136"/>
  <sheetViews>
    <sheetView showGridLines="0" view="pageBreakPreview" zoomScaleSheetLayoutView="100" zoomScalePageLayoutView="0" workbookViewId="0" topLeftCell="A73">
      <selection activeCell="AE8" sqref="AE8:AN8"/>
    </sheetView>
  </sheetViews>
  <sheetFormatPr defaultColWidth="9.140625" defaultRowHeight="12" customHeight="1"/>
  <cols>
    <col min="1" max="1" width="2.28125" style="3" customWidth="1"/>
    <col min="2" max="2" width="4.421875" style="2" customWidth="1"/>
    <col min="3" max="3" width="3.28125" style="2" customWidth="1"/>
    <col min="4" max="4" width="8.421875" style="2" customWidth="1"/>
    <col min="5" max="5" width="3.28125" style="2" customWidth="1"/>
    <col min="6" max="6" width="6.8515625" style="2" customWidth="1"/>
    <col min="7" max="11" width="3.28125" style="51" customWidth="1"/>
    <col min="12" max="18" width="3.28125" style="50" customWidth="1"/>
    <col min="19" max="19" width="14.57421875" style="50" customWidth="1"/>
    <col min="20" max="21" width="3.28125" style="3" customWidth="1"/>
    <col min="22" max="23" width="3.28125" style="40" customWidth="1"/>
    <col min="24" max="24" width="8.421875" style="40" customWidth="1"/>
    <col min="25" max="30" width="3.28125" style="3" customWidth="1"/>
    <col min="31" max="31" width="5.57421875" style="3" customWidth="1"/>
    <col min="32" max="40" width="3.28125" style="3" customWidth="1"/>
    <col min="41" max="41" width="15.421875" style="3" customWidth="1"/>
    <col min="42" max="42" width="23.57421875" style="3" customWidth="1"/>
    <col min="43" max="43" width="14.28125" style="3" bestFit="1" customWidth="1"/>
    <col min="44" max="44" width="3.28125" style="3" customWidth="1"/>
    <col min="45" max="45" width="14.57421875" style="3" bestFit="1" customWidth="1"/>
    <col min="46" max="46" width="10.28125" style="3" customWidth="1"/>
    <col min="47" max="47" width="3.28125" style="3" customWidth="1"/>
    <col min="48" max="48" width="3.28125" style="4" customWidth="1"/>
    <col min="49" max="49" width="7.140625" style="3" customWidth="1"/>
    <col min="50" max="57" width="3.28125" style="3" customWidth="1"/>
    <col min="58" max="16384" width="9.140625" style="3" customWidth="1"/>
  </cols>
  <sheetData>
    <row r="1" spans="6:11" ht="6.75" customHeight="1">
      <c r="F1" s="3"/>
      <c r="G1" s="50"/>
      <c r="H1" s="50"/>
      <c r="I1" s="50"/>
      <c r="J1" s="50"/>
      <c r="K1" s="50"/>
    </row>
    <row r="2" spans="2:40" ht="12.75" customHeight="1">
      <c r="B2" s="179"/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2"/>
      <c r="N2" s="472" t="s">
        <v>23</v>
      </c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180"/>
      <c r="AH2" s="183"/>
      <c r="AI2" s="183"/>
      <c r="AJ2" s="183"/>
      <c r="AK2" s="183"/>
      <c r="AL2" s="180"/>
      <c r="AM2" s="180"/>
      <c r="AN2" s="184"/>
    </row>
    <row r="3" spans="2:40" ht="12" customHeight="1">
      <c r="B3" s="11"/>
      <c r="C3" s="3"/>
      <c r="D3" s="3"/>
      <c r="E3" s="3"/>
      <c r="F3" s="3"/>
      <c r="G3" s="50"/>
      <c r="H3" s="50"/>
      <c r="I3" s="50"/>
      <c r="J3" s="50"/>
      <c r="K3" s="50"/>
      <c r="M3" s="185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39"/>
      <c r="AH3" s="39"/>
      <c r="AI3" s="39"/>
      <c r="AJ3" s="39"/>
      <c r="AK3" s="39"/>
      <c r="AL3" s="39"/>
      <c r="AM3" s="39"/>
      <c r="AN3" s="186"/>
    </row>
    <row r="4" spans="2:40" ht="4.5" customHeight="1">
      <c r="B4" s="11"/>
      <c r="C4" s="3"/>
      <c r="D4" s="3"/>
      <c r="E4" s="3"/>
      <c r="F4" s="3"/>
      <c r="G4" s="50"/>
      <c r="H4" s="50"/>
      <c r="I4" s="185"/>
      <c r="J4" s="50"/>
      <c r="K4" s="50"/>
      <c r="AN4" s="7"/>
    </row>
    <row r="5" spans="2:40" ht="13.5" customHeight="1">
      <c r="B5" s="486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5"/>
      <c r="AA5" s="5"/>
      <c r="AB5" s="5"/>
      <c r="AC5" s="5"/>
      <c r="AD5" s="5"/>
      <c r="AE5" s="474" t="s">
        <v>22</v>
      </c>
      <c r="AF5" s="474"/>
      <c r="AG5" s="474"/>
      <c r="AH5" s="474"/>
      <c r="AI5" s="474"/>
      <c r="AJ5" s="474"/>
      <c r="AK5" s="474"/>
      <c r="AL5" s="474"/>
      <c r="AM5" s="474"/>
      <c r="AN5" s="475"/>
    </row>
    <row r="6" spans="2:40" ht="5.25" customHeight="1">
      <c r="B6" s="187"/>
      <c r="C6" s="1"/>
      <c r="D6" s="1"/>
      <c r="E6" s="1"/>
      <c r="F6" s="1"/>
      <c r="G6" s="188"/>
      <c r="H6" s="188"/>
      <c r="I6" s="188"/>
      <c r="J6" s="188"/>
      <c r="K6" s="188"/>
      <c r="L6" s="189"/>
      <c r="AN6" s="7"/>
    </row>
    <row r="7" spans="2:40" ht="12" customHeight="1">
      <c r="B7" s="210" t="s">
        <v>0</v>
      </c>
      <c r="J7" s="50"/>
      <c r="K7" s="50"/>
      <c r="X7" s="41"/>
      <c r="Y7" s="2"/>
      <c r="Z7" s="2"/>
      <c r="AA7" s="2"/>
      <c r="AB7" s="2"/>
      <c r="AE7" s="6" t="s">
        <v>2</v>
      </c>
      <c r="AN7" s="7"/>
    </row>
    <row r="8" spans="2:40" ht="13.5" customHeight="1">
      <c r="B8" s="455" t="s">
        <v>259</v>
      </c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7"/>
      <c r="AE8" s="447" t="s">
        <v>295</v>
      </c>
      <c r="AF8" s="448"/>
      <c r="AG8" s="448"/>
      <c r="AH8" s="448"/>
      <c r="AI8" s="448"/>
      <c r="AJ8" s="448"/>
      <c r="AK8" s="448"/>
      <c r="AL8" s="448"/>
      <c r="AM8" s="448"/>
      <c r="AN8" s="449"/>
    </row>
    <row r="9" spans="2:48" s="9" customFormat="1" ht="5.25" customHeight="1">
      <c r="B9" s="190"/>
      <c r="C9" s="8"/>
      <c r="D9" s="8"/>
      <c r="E9" s="8"/>
      <c r="F9" s="8"/>
      <c r="G9" s="51"/>
      <c r="H9" s="51"/>
      <c r="I9" s="51"/>
      <c r="J9" s="51"/>
      <c r="K9" s="51"/>
      <c r="L9" s="50"/>
      <c r="M9" s="50"/>
      <c r="N9" s="50"/>
      <c r="O9" s="50"/>
      <c r="P9" s="50"/>
      <c r="Q9" s="50"/>
      <c r="R9" s="50"/>
      <c r="S9" s="50"/>
      <c r="V9" s="43"/>
      <c r="W9" s="43"/>
      <c r="X9" s="43"/>
      <c r="AN9" s="191"/>
      <c r="AV9" s="10"/>
    </row>
    <row r="10" spans="2:40" ht="12" customHeight="1">
      <c r="B10" s="6" t="s">
        <v>12</v>
      </c>
      <c r="F10" s="3"/>
      <c r="G10" s="50"/>
      <c r="H10" s="50"/>
      <c r="I10" s="50"/>
      <c r="J10" s="50"/>
      <c r="K10" s="50"/>
      <c r="X10" s="42" t="s">
        <v>10</v>
      </c>
      <c r="Z10" s="2"/>
      <c r="AA10" s="2"/>
      <c r="AB10" s="2"/>
      <c r="AC10" s="2"/>
      <c r="AD10" s="2"/>
      <c r="AF10" s="2"/>
      <c r="AG10" s="12"/>
      <c r="AL10" s="13"/>
      <c r="AM10" s="11" t="s">
        <v>11</v>
      </c>
      <c r="AN10" s="14"/>
    </row>
    <row r="11" spans="2:40" ht="13.5" customHeight="1">
      <c r="B11" s="458" t="s">
        <v>251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60"/>
      <c r="X11" s="458" t="s">
        <v>260</v>
      </c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60"/>
      <c r="AM11" s="453" t="s">
        <v>8</v>
      </c>
      <c r="AN11" s="454"/>
    </row>
    <row r="12" spans="2:48" s="9" customFormat="1" ht="38.25" customHeight="1">
      <c r="B12" s="190"/>
      <c r="C12" s="8"/>
      <c r="D12" s="8"/>
      <c r="E12" s="8"/>
      <c r="F12" s="8"/>
      <c r="G12" s="51"/>
      <c r="H12" s="51"/>
      <c r="I12" s="51"/>
      <c r="J12" s="51"/>
      <c r="K12" s="51"/>
      <c r="L12" s="50"/>
      <c r="M12" s="50"/>
      <c r="N12" s="50"/>
      <c r="O12" s="50"/>
      <c r="P12" s="50"/>
      <c r="Q12" s="50"/>
      <c r="R12" s="50"/>
      <c r="S12" s="50"/>
      <c r="V12" s="43"/>
      <c r="W12" s="43"/>
      <c r="X12" s="43"/>
      <c r="AL12" s="3"/>
      <c r="AM12" s="3"/>
      <c r="AN12" s="7"/>
      <c r="AO12" s="105"/>
      <c r="AV12" s="10"/>
    </row>
    <row r="13" spans="2:40" ht="12" customHeight="1">
      <c r="B13" s="11" t="s">
        <v>9</v>
      </c>
      <c r="C13" s="3"/>
      <c r="D13" s="3"/>
      <c r="E13" s="3"/>
      <c r="J13" s="50"/>
      <c r="K13" s="50"/>
      <c r="X13" s="42" t="s">
        <v>17</v>
      </c>
      <c r="AA13" s="2"/>
      <c r="AG13" s="6" t="s">
        <v>1</v>
      </c>
      <c r="AJ13" s="2"/>
      <c r="AN13" s="7"/>
    </row>
    <row r="14" spans="2:40" ht="13.5" customHeight="1">
      <c r="B14" s="458" t="s">
        <v>93</v>
      </c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60"/>
      <c r="X14" s="450" t="s">
        <v>94</v>
      </c>
      <c r="Y14" s="451"/>
      <c r="Z14" s="451"/>
      <c r="AA14" s="451"/>
      <c r="AB14" s="451"/>
      <c r="AC14" s="451"/>
      <c r="AD14" s="451"/>
      <c r="AE14" s="451"/>
      <c r="AF14" s="452"/>
      <c r="AG14" s="450">
        <v>42917</v>
      </c>
      <c r="AH14" s="451"/>
      <c r="AI14" s="451"/>
      <c r="AJ14" s="451"/>
      <c r="AK14" s="451"/>
      <c r="AL14" s="451"/>
      <c r="AM14" s="451"/>
      <c r="AN14" s="452"/>
    </row>
    <row r="15" spans="2:40" ht="6" customHeight="1">
      <c r="B15" s="6"/>
      <c r="AN15" s="7"/>
    </row>
    <row r="16" spans="2:41" ht="13.5" customHeight="1">
      <c r="B16" s="6" t="s">
        <v>24</v>
      </c>
      <c r="AN16" s="7"/>
      <c r="AO16" s="38" t="b">
        <v>0</v>
      </c>
    </row>
    <row r="17" spans="2:40" ht="6" customHeight="1">
      <c r="B17" s="6"/>
      <c r="AN17" s="7"/>
    </row>
    <row r="18" spans="2:45" ht="12" customHeight="1">
      <c r="B18" s="33" t="s">
        <v>20</v>
      </c>
      <c r="C18" s="34"/>
      <c r="D18" s="34"/>
      <c r="E18" s="34"/>
      <c r="F18" s="34"/>
      <c r="G18" s="52"/>
      <c r="H18" s="52"/>
      <c r="I18" s="52"/>
      <c r="J18" s="52"/>
      <c r="K18" s="502" t="s">
        <v>16</v>
      </c>
      <c r="L18" s="503"/>
      <c r="M18" s="503"/>
      <c r="N18" s="503"/>
      <c r="O18" s="503"/>
      <c r="P18" s="504"/>
      <c r="Q18" s="500" t="s">
        <v>19</v>
      </c>
      <c r="R18" s="501"/>
      <c r="S18" s="501"/>
      <c r="T18" s="501"/>
      <c r="U18" s="501"/>
      <c r="V18" s="501"/>
      <c r="W18" s="501"/>
      <c r="X18" s="501"/>
      <c r="Y18" s="488" t="s">
        <v>18</v>
      </c>
      <c r="Z18" s="489"/>
      <c r="AA18" s="489"/>
      <c r="AB18" s="489"/>
      <c r="AC18" s="489"/>
      <c r="AD18" s="489"/>
      <c r="AE18" s="489"/>
      <c r="AF18" s="489"/>
      <c r="AG18" s="489"/>
      <c r="AH18" s="489"/>
      <c r="AI18" s="490"/>
      <c r="AJ18" s="476">
        <v>0.2904</v>
      </c>
      <c r="AK18" s="477"/>
      <c r="AL18" s="477"/>
      <c r="AM18" s="477"/>
      <c r="AN18" s="478"/>
      <c r="AP18" s="94"/>
      <c r="AQ18" s="90"/>
      <c r="AS18" s="91"/>
    </row>
    <row r="19" spans="2:43" ht="12" customHeight="1">
      <c r="B19" s="35"/>
      <c r="C19" s="36"/>
      <c r="D19" s="36"/>
      <c r="E19" s="36"/>
      <c r="F19" s="36"/>
      <c r="G19" s="53"/>
      <c r="H19" s="53"/>
      <c r="I19" s="53"/>
      <c r="J19" s="53"/>
      <c r="K19" s="505"/>
      <c r="L19" s="506"/>
      <c r="M19" s="506"/>
      <c r="N19" s="506"/>
      <c r="O19" s="506"/>
      <c r="P19" s="507"/>
      <c r="Q19" s="464"/>
      <c r="R19" s="465"/>
      <c r="S19" s="465"/>
      <c r="T19" s="465"/>
      <c r="U19" s="465"/>
      <c r="V19" s="465"/>
      <c r="W19" s="465"/>
      <c r="X19" s="465"/>
      <c r="Y19" s="491"/>
      <c r="Z19" s="492"/>
      <c r="AA19" s="492"/>
      <c r="AB19" s="492"/>
      <c r="AC19" s="492"/>
      <c r="AD19" s="492"/>
      <c r="AE19" s="492"/>
      <c r="AF19" s="492"/>
      <c r="AG19" s="492"/>
      <c r="AH19" s="492"/>
      <c r="AI19" s="493"/>
      <c r="AJ19" s="479"/>
      <c r="AK19" s="480"/>
      <c r="AL19" s="480"/>
      <c r="AM19" s="480"/>
      <c r="AN19" s="481"/>
      <c r="AP19" s="40"/>
      <c r="AQ19" s="92"/>
    </row>
    <row r="20" spans="2:48" ht="12" customHeight="1">
      <c r="B20" s="18" t="s">
        <v>38</v>
      </c>
      <c r="C20" s="19"/>
      <c r="D20" s="19"/>
      <c r="E20" s="19"/>
      <c r="F20" s="19"/>
      <c r="G20" s="54"/>
      <c r="H20" s="54"/>
      <c r="I20" s="54"/>
      <c r="J20" s="54"/>
      <c r="K20" s="55" t="s">
        <v>15</v>
      </c>
      <c r="L20" s="514">
        <v>0</v>
      </c>
      <c r="M20" s="514"/>
      <c r="N20" s="56" t="s">
        <v>14</v>
      </c>
      <c r="O20" s="514">
        <v>0.0074</v>
      </c>
      <c r="P20" s="515"/>
      <c r="Q20" s="57" t="s">
        <v>25</v>
      </c>
      <c r="R20" s="58"/>
      <c r="S20" s="58"/>
      <c r="T20" s="20"/>
      <c r="U20" s="20"/>
      <c r="V20" s="44"/>
      <c r="W20" s="482">
        <v>0</v>
      </c>
      <c r="X20" s="483"/>
      <c r="Y20" s="494" t="s">
        <v>47</v>
      </c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6"/>
      <c r="AP20" s="40"/>
      <c r="AQ20" s="93"/>
      <c r="AT20" s="4"/>
      <c r="AV20" s="3"/>
    </row>
    <row r="21" spans="2:48" ht="12" customHeight="1">
      <c r="B21" s="21" t="s">
        <v>43</v>
      </c>
      <c r="C21" s="22"/>
      <c r="D21" s="22"/>
      <c r="E21" s="22"/>
      <c r="F21" s="22"/>
      <c r="G21" s="59"/>
      <c r="H21" s="59"/>
      <c r="I21" s="59"/>
      <c r="J21" s="59"/>
      <c r="K21" s="60" t="s">
        <v>15</v>
      </c>
      <c r="L21" s="508">
        <v>0</v>
      </c>
      <c r="M21" s="508"/>
      <c r="N21" s="61" t="s">
        <v>14</v>
      </c>
      <c r="O21" s="508">
        <v>0.0097</v>
      </c>
      <c r="P21" s="509"/>
      <c r="Q21" s="62" t="s">
        <v>26</v>
      </c>
      <c r="R21" s="63"/>
      <c r="S21" s="63"/>
      <c r="T21" s="23"/>
      <c r="U21" s="23"/>
      <c r="V21" s="45"/>
      <c r="W21" s="484">
        <v>0.0171</v>
      </c>
      <c r="X21" s="485"/>
      <c r="Y21" s="497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9"/>
      <c r="AP21" s="40"/>
      <c r="AT21" s="4"/>
      <c r="AV21" s="3"/>
    </row>
    <row r="22" spans="2:48" ht="12" customHeight="1">
      <c r="B22" s="21" t="s">
        <v>39</v>
      </c>
      <c r="C22" s="22"/>
      <c r="D22" s="22"/>
      <c r="E22" s="22"/>
      <c r="F22" s="22"/>
      <c r="G22" s="59"/>
      <c r="H22" s="59"/>
      <c r="I22" s="59"/>
      <c r="J22" s="59"/>
      <c r="K22" s="60" t="s">
        <v>15</v>
      </c>
      <c r="L22" s="508">
        <v>0</v>
      </c>
      <c r="M22" s="508"/>
      <c r="N22" s="61" t="s">
        <v>14</v>
      </c>
      <c r="O22" s="508">
        <v>0.0121</v>
      </c>
      <c r="P22" s="509"/>
      <c r="Q22" s="62" t="s">
        <v>27</v>
      </c>
      <c r="R22" s="63"/>
      <c r="S22" s="63"/>
      <c r="T22" s="23"/>
      <c r="U22" s="23"/>
      <c r="V22" s="45"/>
      <c r="W22" s="484">
        <v>0.0121</v>
      </c>
      <c r="X22" s="485"/>
      <c r="Y22" s="497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9"/>
      <c r="AP22" s="104"/>
      <c r="AT22" s="4"/>
      <c r="AV22" s="3"/>
    </row>
    <row r="23" spans="2:48" ht="12" customHeight="1">
      <c r="B23" s="21" t="s">
        <v>40</v>
      </c>
      <c r="C23" s="22"/>
      <c r="D23" s="22"/>
      <c r="E23" s="22"/>
      <c r="F23" s="22"/>
      <c r="G23" s="59"/>
      <c r="H23" s="59"/>
      <c r="I23" s="59"/>
      <c r="J23" s="59"/>
      <c r="K23" s="60" t="s">
        <v>15</v>
      </c>
      <c r="L23" s="508">
        <v>0.0011</v>
      </c>
      <c r="M23" s="508"/>
      <c r="N23" s="61" t="s">
        <v>14</v>
      </c>
      <c r="O23" s="508">
        <v>0.0467</v>
      </c>
      <c r="P23" s="509"/>
      <c r="Q23" s="62" t="s">
        <v>28</v>
      </c>
      <c r="R23" s="63"/>
      <c r="S23" s="63"/>
      <c r="T23" s="23"/>
      <c r="U23" s="23"/>
      <c r="V23" s="45"/>
      <c r="W23" s="484">
        <v>0.0453</v>
      </c>
      <c r="X23" s="485"/>
      <c r="Y23" s="497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9"/>
      <c r="AP23" s="40"/>
      <c r="AT23" s="4"/>
      <c r="AV23" s="3"/>
    </row>
    <row r="24" spans="2:48" ht="12" customHeight="1">
      <c r="B24" s="21" t="s">
        <v>41</v>
      </c>
      <c r="C24" s="22"/>
      <c r="D24" s="22"/>
      <c r="E24" s="22"/>
      <c r="F24" s="22"/>
      <c r="G24" s="59"/>
      <c r="H24" s="59"/>
      <c r="I24" s="59"/>
      <c r="J24" s="59"/>
      <c r="K24" s="60" t="s">
        <v>15</v>
      </c>
      <c r="L24" s="508">
        <v>0.0383</v>
      </c>
      <c r="M24" s="508"/>
      <c r="N24" s="61" t="s">
        <v>14</v>
      </c>
      <c r="O24" s="508">
        <v>0.0869</v>
      </c>
      <c r="P24" s="509"/>
      <c r="Q24" s="62" t="s">
        <v>29</v>
      </c>
      <c r="R24" s="63"/>
      <c r="S24" s="63"/>
      <c r="T24" s="23"/>
      <c r="U24" s="23"/>
      <c r="V24" s="45"/>
      <c r="W24" s="484">
        <v>0.0843</v>
      </c>
      <c r="X24" s="485"/>
      <c r="Y24" s="497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9"/>
      <c r="AT24" s="4"/>
      <c r="AV24" s="3"/>
    </row>
    <row r="25" spans="2:48" ht="12" customHeight="1">
      <c r="B25" s="200" t="s">
        <v>42</v>
      </c>
      <c r="C25" s="201"/>
      <c r="D25" s="201"/>
      <c r="E25" s="201"/>
      <c r="F25" s="201"/>
      <c r="G25" s="202"/>
      <c r="H25" s="202"/>
      <c r="I25" s="202"/>
      <c r="J25" s="202"/>
      <c r="K25" s="203" t="s">
        <v>15</v>
      </c>
      <c r="L25" s="512">
        <f>6.03%-0.38%</f>
        <v>0.0565</v>
      </c>
      <c r="M25" s="512"/>
      <c r="N25" s="204" t="s">
        <v>14</v>
      </c>
      <c r="O25" s="512">
        <f>9.03%-0.38%</f>
        <v>0.0865</v>
      </c>
      <c r="P25" s="513"/>
      <c r="Q25" s="205" t="s">
        <v>30</v>
      </c>
      <c r="R25" s="206"/>
      <c r="S25" s="206"/>
      <c r="T25" s="207"/>
      <c r="U25" s="207"/>
      <c r="V25" s="208"/>
      <c r="W25" s="510">
        <v>0.0515</v>
      </c>
      <c r="X25" s="511"/>
      <c r="Y25" s="497"/>
      <c r="Z25" s="498"/>
      <c r="AA25" s="498"/>
      <c r="AB25" s="498"/>
      <c r="AC25" s="498"/>
      <c r="AD25" s="498"/>
      <c r="AE25" s="498"/>
      <c r="AF25" s="498"/>
      <c r="AG25" s="498"/>
      <c r="AH25" s="498"/>
      <c r="AI25" s="498"/>
      <c r="AJ25" s="498"/>
      <c r="AK25" s="498"/>
      <c r="AL25" s="498"/>
      <c r="AM25" s="498"/>
      <c r="AN25" s="499"/>
      <c r="AT25" s="4"/>
      <c r="AV25" s="3"/>
    </row>
    <row r="26" spans="2:40" ht="15.75" customHeight="1">
      <c r="B26" s="424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6"/>
    </row>
    <row r="27" spans="2:40" ht="12" customHeight="1">
      <c r="B27" s="541" t="s">
        <v>3</v>
      </c>
      <c r="C27" s="24"/>
      <c r="D27" s="25"/>
      <c r="E27" s="26"/>
      <c r="F27" s="25"/>
      <c r="G27" s="528" t="s">
        <v>4</v>
      </c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30"/>
      <c r="T27" s="500" t="s">
        <v>5</v>
      </c>
      <c r="U27" s="516"/>
      <c r="V27" s="519" t="s">
        <v>6</v>
      </c>
      <c r="W27" s="520"/>
      <c r="X27" s="521"/>
      <c r="Y27" s="461" t="s">
        <v>31</v>
      </c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3"/>
    </row>
    <row r="28" spans="1:40" ht="12" customHeight="1">
      <c r="A28" s="13"/>
      <c r="B28" s="542"/>
      <c r="C28" s="37" t="s">
        <v>45</v>
      </c>
      <c r="D28" s="27"/>
      <c r="E28" s="544" t="s">
        <v>46</v>
      </c>
      <c r="F28" s="545"/>
      <c r="G28" s="531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3"/>
      <c r="T28" s="517"/>
      <c r="U28" s="518"/>
      <c r="V28" s="522"/>
      <c r="W28" s="523"/>
      <c r="X28" s="524"/>
      <c r="Y28" s="461" t="s">
        <v>32</v>
      </c>
      <c r="Z28" s="462"/>
      <c r="AA28" s="462"/>
      <c r="AB28" s="462"/>
      <c r="AC28" s="462"/>
      <c r="AD28" s="462"/>
      <c r="AE28" s="462"/>
      <c r="AF28" s="467" t="s">
        <v>34</v>
      </c>
      <c r="AG28" s="462"/>
      <c r="AH28" s="462"/>
      <c r="AI28" s="462"/>
      <c r="AJ28" s="462"/>
      <c r="AK28" s="462"/>
      <c r="AL28" s="462"/>
      <c r="AM28" s="462"/>
      <c r="AN28" s="463"/>
    </row>
    <row r="29" spans="1:43" ht="12" customHeight="1">
      <c r="A29" s="13"/>
      <c r="B29" s="543"/>
      <c r="C29" s="28"/>
      <c r="D29" s="29"/>
      <c r="E29" s="30"/>
      <c r="F29" s="29"/>
      <c r="G29" s="534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6"/>
      <c r="T29" s="464"/>
      <c r="U29" s="466"/>
      <c r="V29" s="525"/>
      <c r="W29" s="526"/>
      <c r="X29" s="527"/>
      <c r="Y29" s="464" t="s">
        <v>21</v>
      </c>
      <c r="Z29" s="465"/>
      <c r="AA29" s="466"/>
      <c r="AB29" s="464" t="s">
        <v>33</v>
      </c>
      <c r="AC29" s="465"/>
      <c r="AD29" s="465"/>
      <c r="AE29" s="465"/>
      <c r="AF29" s="468" t="s">
        <v>21</v>
      </c>
      <c r="AG29" s="465"/>
      <c r="AH29" s="466"/>
      <c r="AI29" s="469" t="s">
        <v>33</v>
      </c>
      <c r="AJ29" s="470"/>
      <c r="AK29" s="470"/>
      <c r="AL29" s="470"/>
      <c r="AM29" s="470"/>
      <c r="AN29" s="471"/>
      <c r="AP29" s="96"/>
      <c r="AQ29" s="97"/>
    </row>
    <row r="30" spans="1:43" ht="17.25" customHeight="1">
      <c r="A30" s="13"/>
      <c r="B30" s="116">
        <v>1</v>
      </c>
      <c r="C30" s="538"/>
      <c r="D30" s="539"/>
      <c r="E30" s="539"/>
      <c r="F30" s="540"/>
      <c r="G30" s="552" t="s">
        <v>102</v>
      </c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>
        <f>IF(T30="","",ROUND(V30*Y30,2))</f>
      </c>
      <c r="AC30" s="553"/>
      <c r="AD30" s="553"/>
      <c r="AE30" s="553"/>
      <c r="AF30" s="553">
        <f aca="true" t="shared" si="0" ref="AF30:AF59">IF(T30="","",ROUND(Y30*(1+$AJ$18),2))</f>
      </c>
      <c r="AG30" s="553"/>
      <c r="AH30" s="553"/>
      <c r="AI30" s="553">
        <f aca="true" t="shared" si="1" ref="AI30:AI59">IF(T30="","",ROUND(V30*AF30,2))</f>
      </c>
      <c r="AJ30" s="553"/>
      <c r="AK30" s="553"/>
      <c r="AL30" s="553"/>
      <c r="AM30" s="553"/>
      <c r="AN30" s="554"/>
      <c r="AP30" s="96"/>
      <c r="AQ30" s="95"/>
    </row>
    <row r="31" spans="1:42" ht="30.75" customHeight="1">
      <c r="A31" s="13"/>
      <c r="B31" s="117" t="s">
        <v>99</v>
      </c>
      <c r="C31" s="421"/>
      <c r="D31" s="422"/>
      <c r="E31" s="423" t="s">
        <v>103</v>
      </c>
      <c r="F31" s="423"/>
      <c r="G31" s="446" t="s">
        <v>95</v>
      </c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5" t="s">
        <v>144</v>
      </c>
      <c r="U31" s="445"/>
      <c r="V31" s="430" t="e">
        <f>'MEMORIA DE CÁLCULO'!#REF!</f>
        <v>#REF!</v>
      </c>
      <c r="W31" s="430"/>
      <c r="X31" s="430"/>
      <c r="Y31" s="437">
        <f>CPU!I27</f>
        <v>5540.88</v>
      </c>
      <c r="Z31" s="437"/>
      <c r="AA31" s="437"/>
      <c r="AB31" s="428" t="e">
        <f aca="true" t="shared" si="2" ref="AB31:AB59">IF(T31="","",ROUND(V31*Y31,2))</f>
        <v>#REF!</v>
      </c>
      <c r="AC31" s="428"/>
      <c r="AD31" s="428"/>
      <c r="AE31" s="428"/>
      <c r="AF31" s="427">
        <f t="shared" si="0"/>
        <v>7149.95</v>
      </c>
      <c r="AG31" s="427"/>
      <c r="AH31" s="427"/>
      <c r="AI31" s="427" t="e">
        <f t="shared" si="1"/>
        <v>#REF!</v>
      </c>
      <c r="AJ31" s="427"/>
      <c r="AK31" s="427"/>
      <c r="AL31" s="427"/>
      <c r="AM31" s="427"/>
      <c r="AN31" s="427"/>
      <c r="AP31" s="96"/>
    </row>
    <row r="32" spans="1:42" ht="30.75" customHeight="1">
      <c r="A32" s="13"/>
      <c r="B32" s="117" t="s">
        <v>100</v>
      </c>
      <c r="C32" s="423" t="s">
        <v>104</v>
      </c>
      <c r="D32" s="423" t="s">
        <v>104</v>
      </c>
      <c r="E32" s="423" t="s">
        <v>105</v>
      </c>
      <c r="F32" s="423"/>
      <c r="G32" s="446" t="s">
        <v>96</v>
      </c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5" t="s">
        <v>145</v>
      </c>
      <c r="U32" s="445" t="s">
        <v>145</v>
      </c>
      <c r="V32" s="430" t="e">
        <f>'MEMORIA DE CÁLCULO'!#REF!</f>
        <v>#REF!</v>
      </c>
      <c r="W32" s="430"/>
      <c r="X32" s="430"/>
      <c r="Y32" s="437">
        <v>312.91</v>
      </c>
      <c r="Z32" s="437"/>
      <c r="AA32" s="437"/>
      <c r="AB32" s="428" t="e">
        <f t="shared" si="2"/>
        <v>#REF!</v>
      </c>
      <c r="AC32" s="428"/>
      <c r="AD32" s="428"/>
      <c r="AE32" s="428"/>
      <c r="AF32" s="427">
        <f t="shared" si="0"/>
        <v>403.78</v>
      </c>
      <c r="AG32" s="427"/>
      <c r="AH32" s="427"/>
      <c r="AI32" s="427" t="e">
        <f t="shared" si="1"/>
        <v>#REF!</v>
      </c>
      <c r="AJ32" s="427"/>
      <c r="AK32" s="427"/>
      <c r="AL32" s="427"/>
      <c r="AM32" s="427"/>
      <c r="AN32" s="427"/>
      <c r="AP32" s="96"/>
    </row>
    <row r="33" spans="1:42" ht="30.75" customHeight="1">
      <c r="A33" s="13"/>
      <c r="B33" s="117" t="s">
        <v>101</v>
      </c>
      <c r="C33" s="423">
        <v>78472</v>
      </c>
      <c r="D33" s="423">
        <v>78472</v>
      </c>
      <c r="E33" s="423" t="s">
        <v>105</v>
      </c>
      <c r="F33" s="423"/>
      <c r="G33" s="446" t="s">
        <v>97</v>
      </c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5" t="s">
        <v>145</v>
      </c>
      <c r="U33" s="445" t="s">
        <v>145</v>
      </c>
      <c r="V33" s="430" t="e">
        <f>'MEMORIA DE CÁLCULO'!#REF!</f>
        <v>#REF!</v>
      </c>
      <c r="W33" s="430"/>
      <c r="X33" s="430"/>
      <c r="Y33" s="437">
        <v>0.31</v>
      </c>
      <c r="Z33" s="437">
        <v>0.35</v>
      </c>
      <c r="AA33" s="437">
        <v>0.35</v>
      </c>
      <c r="AB33" s="428" t="e">
        <f t="shared" si="2"/>
        <v>#REF!</v>
      </c>
      <c r="AC33" s="428"/>
      <c r="AD33" s="428"/>
      <c r="AE33" s="428"/>
      <c r="AF33" s="427">
        <f t="shared" si="0"/>
        <v>0.4</v>
      </c>
      <c r="AG33" s="427"/>
      <c r="AH33" s="427"/>
      <c r="AI33" s="427" t="e">
        <f t="shared" si="1"/>
        <v>#REF!</v>
      </c>
      <c r="AJ33" s="427"/>
      <c r="AK33" s="427"/>
      <c r="AL33" s="427"/>
      <c r="AM33" s="427"/>
      <c r="AN33" s="427"/>
      <c r="AP33" s="96"/>
    </row>
    <row r="34" spans="1:40" ht="12" customHeight="1">
      <c r="A34" s="13"/>
      <c r="B34" s="117"/>
      <c r="C34" s="442" t="s">
        <v>227</v>
      </c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4"/>
      <c r="AI34" s="439" t="e">
        <f>SUM(AI31:AN33)</f>
        <v>#REF!</v>
      </c>
      <c r="AJ34" s="440"/>
      <c r="AK34" s="440"/>
      <c r="AL34" s="440"/>
      <c r="AM34" s="440"/>
      <c r="AN34" s="441"/>
    </row>
    <row r="35" spans="1:42" ht="17.25" customHeight="1">
      <c r="A35" s="13"/>
      <c r="B35" s="116">
        <v>2</v>
      </c>
      <c r="C35" s="538"/>
      <c r="D35" s="539"/>
      <c r="E35" s="539"/>
      <c r="F35" s="540"/>
      <c r="G35" s="552" t="s">
        <v>98</v>
      </c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3"/>
      <c r="Z35" s="553"/>
      <c r="AA35" s="553"/>
      <c r="AB35" s="553">
        <f t="shared" si="2"/>
      </c>
      <c r="AC35" s="553"/>
      <c r="AD35" s="553"/>
      <c r="AE35" s="553"/>
      <c r="AF35" s="553">
        <f t="shared" si="0"/>
      </c>
      <c r="AG35" s="553"/>
      <c r="AH35" s="553"/>
      <c r="AI35" s="553">
        <f t="shared" si="1"/>
      </c>
      <c r="AJ35" s="553"/>
      <c r="AK35" s="553"/>
      <c r="AL35" s="553"/>
      <c r="AM35" s="553"/>
      <c r="AN35" s="554"/>
      <c r="AO35" s="100"/>
      <c r="AP35" s="101"/>
    </row>
    <row r="36" spans="1:42" ht="36.75" customHeight="1">
      <c r="A36" s="13"/>
      <c r="B36" s="117" t="s">
        <v>262</v>
      </c>
      <c r="C36" s="537" t="s">
        <v>110</v>
      </c>
      <c r="D36" s="537"/>
      <c r="E36" s="423" t="s">
        <v>105</v>
      </c>
      <c r="F36" s="423"/>
      <c r="G36" s="446" t="s">
        <v>106</v>
      </c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23" t="s">
        <v>146</v>
      </c>
      <c r="U36" s="423"/>
      <c r="V36" s="430" t="e">
        <f>'MEMORIA DE CÁLCULO'!#REF!</f>
        <v>#REF!</v>
      </c>
      <c r="W36" s="430"/>
      <c r="X36" s="430"/>
      <c r="Y36" s="437">
        <v>4.54</v>
      </c>
      <c r="Z36" s="437">
        <v>4.73</v>
      </c>
      <c r="AA36" s="437">
        <v>4.73</v>
      </c>
      <c r="AB36" s="428" t="e">
        <f t="shared" si="2"/>
        <v>#REF!</v>
      </c>
      <c r="AC36" s="428"/>
      <c r="AD36" s="428"/>
      <c r="AE36" s="428"/>
      <c r="AF36" s="427">
        <f t="shared" si="0"/>
        <v>5.86</v>
      </c>
      <c r="AG36" s="427"/>
      <c r="AH36" s="427"/>
      <c r="AI36" s="427" t="e">
        <f t="shared" si="1"/>
        <v>#REF!</v>
      </c>
      <c r="AJ36" s="427"/>
      <c r="AK36" s="427"/>
      <c r="AL36" s="427"/>
      <c r="AM36" s="427"/>
      <c r="AN36" s="427"/>
      <c r="AO36" s="99"/>
      <c r="AP36" s="102"/>
    </row>
    <row r="37" spans="1:42" ht="33" customHeight="1">
      <c r="A37" s="13"/>
      <c r="B37" s="117" t="s">
        <v>263</v>
      </c>
      <c r="C37" s="537">
        <v>72961</v>
      </c>
      <c r="D37" s="537">
        <v>72961</v>
      </c>
      <c r="E37" s="423" t="s">
        <v>105</v>
      </c>
      <c r="F37" s="423"/>
      <c r="G37" s="446" t="s">
        <v>107</v>
      </c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23" t="s">
        <v>145</v>
      </c>
      <c r="U37" s="423" t="s">
        <v>145</v>
      </c>
      <c r="V37" s="430" t="e">
        <f>'MEMORIA DE CÁLCULO'!#REF!</f>
        <v>#REF!</v>
      </c>
      <c r="W37" s="430"/>
      <c r="X37" s="430"/>
      <c r="Y37" s="437">
        <v>1.06</v>
      </c>
      <c r="Z37" s="437">
        <v>1.16</v>
      </c>
      <c r="AA37" s="437">
        <v>1.16</v>
      </c>
      <c r="AB37" s="428" t="e">
        <f t="shared" si="2"/>
        <v>#REF!</v>
      </c>
      <c r="AC37" s="428"/>
      <c r="AD37" s="428"/>
      <c r="AE37" s="428"/>
      <c r="AF37" s="427">
        <f t="shared" si="0"/>
        <v>1.37</v>
      </c>
      <c r="AG37" s="427"/>
      <c r="AH37" s="427"/>
      <c r="AI37" s="427" t="e">
        <f t="shared" si="1"/>
        <v>#REF!</v>
      </c>
      <c r="AJ37" s="427"/>
      <c r="AK37" s="427"/>
      <c r="AL37" s="427"/>
      <c r="AM37" s="427"/>
      <c r="AN37" s="427"/>
      <c r="AO37" s="99"/>
      <c r="AP37" s="102"/>
    </row>
    <row r="38" spans="1:42" ht="42.75" customHeight="1">
      <c r="A38" s="13"/>
      <c r="B38" s="117" t="s">
        <v>264</v>
      </c>
      <c r="C38" s="537">
        <v>93589</v>
      </c>
      <c r="D38" s="537">
        <v>93589</v>
      </c>
      <c r="E38" s="423" t="s">
        <v>105</v>
      </c>
      <c r="F38" s="423"/>
      <c r="G38" s="446" t="s">
        <v>109</v>
      </c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23" t="s">
        <v>147</v>
      </c>
      <c r="U38" s="423" t="s">
        <v>147</v>
      </c>
      <c r="V38" s="430" t="e">
        <f>'MEMORIA DE CÁLCULO'!#REF!</f>
        <v>#REF!</v>
      </c>
      <c r="W38" s="430"/>
      <c r="X38" s="430"/>
      <c r="Y38" s="437">
        <v>0.97</v>
      </c>
      <c r="Z38" s="437">
        <v>0.97</v>
      </c>
      <c r="AA38" s="437">
        <v>0.97</v>
      </c>
      <c r="AB38" s="428" t="e">
        <f t="shared" si="2"/>
        <v>#REF!</v>
      </c>
      <c r="AC38" s="428"/>
      <c r="AD38" s="428"/>
      <c r="AE38" s="428"/>
      <c r="AF38" s="427">
        <f t="shared" si="0"/>
        <v>1.25</v>
      </c>
      <c r="AG38" s="427"/>
      <c r="AH38" s="427"/>
      <c r="AI38" s="427" t="e">
        <f t="shared" si="1"/>
        <v>#REF!</v>
      </c>
      <c r="AJ38" s="427"/>
      <c r="AK38" s="427"/>
      <c r="AL38" s="427"/>
      <c r="AM38" s="427"/>
      <c r="AN38" s="427"/>
      <c r="AO38" s="103"/>
      <c r="AP38" s="98"/>
    </row>
    <row r="39" spans="1:40" ht="27" customHeight="1">
      <c r="A39" s="13"/>
      <c r="B39" s="117" t="s">
        <v>265</v>
      </c>
      <c r="C39" s="537">
        <v>72911</v>
      </c>
      <c r="D39" s="537">
        <v>72911</v>
      </c>
      <c r="E39" s="423" t="s">
        <v>105</v>
      </c>
      <c r="F39" s="423"/>
      <c r="G39" s="446" t="s">
        <v>108</v>
      </c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23" t="s">
        <v>146</v>
      </c>
      <c r="U39" s="423" t="s">
        <v>146</v>
      </c>
      <c r="V39" s="430" t="e">
        <f>'MEMORIA DE CÁLCULO'!#REF!</f>
        <v>#REF!</v>
      </c>
      <c r="W39" s="430"/>
      <c r="X39" s="430"/>
      <c r="Y39" s="437">
        <v>8.47</v>
      </c>
      <c r="Z39" s="437">
        <v>8.79</v>
      </c>
      <c r="AA39" s="437">
        <v>8.79</v>
      </c>
      <c r="AB39" s="428" t="e">
        <f t="shared" si="2"/>
        <v>#REF!</v>
      </c>
      <c r="AC39" s="428"/>
      <c r="AD39" s="428"/>
      <c r="AE39" s="428"/>
      <c r="AF39" s="427">
        <f t="shared" si="0"/>
        <v>10.93</v>
      </c>
      <c r="AG39" s="427"/>
      <c r="AH39" s="427"/>
      <c r="AI39" s="427" t="e">
        <f t="shared" si="1"/>
        <v>#REF!</v>
      </c>
      <c r="AJ39" s="427"/>
      <c r="AK39" s="427"/>
      <c r="AL39" s="427"/>
      <c r="AM39" s="427"/>
      <c r="AN39" s="427"/>
    </row>
    <row r="40" spans="1:40" ht="12" customHeight="1">
      <c r="A40" s="13"/>
      <c r="B40" s="117"/>
      <c r="C40" s="442" t="s">
        <v>227</v>
      </c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4"/>
      <c r="AI40" s="439" t="e">
        <f>SUM(AI36:AN39)</f>
        <v>#REF!</v>
      </c>
      <c r="AJ40" s="440"/>
      <c r="AK40" s="440"/>
      <c r="AL40" s="440"/>
      <c r="AM40" s="440"/>
      <c r="AN40" s="441"/>
    </row>
    <row r="41" spans="1:43" ht="17.25" customHeight="1">
      <c r="A41" s="13"/>
      <c r="B41" s="116">
        <v>3</v>
      </c>
      <c r="C41" s="538"/>
      <c r="D41" s="539"/>
      <c r="E41" s="539"/>
      <c r="F41" s="540"/>
      <c r="G41" s="552" t="s">
        <v>240</v>
      </c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3"/>
      <c r="AA41" s="553"/>
      <c r="AB41" s="553">
        <f t="shared" si="2"/>
      </c>
      <c r="AC41" s="553"/>
      <c r="AD41" s="553"/>
      <c r="AE41" s="553"/>
      <c r="AF41" s="553">
        <f t="shared" si="0"/>
      </c>
      <c r="AG41" s="553"/>
      <c r="AH41" s="553"/>
      <c r="AI41" s="553">
        <f t="shared" si="1"/>
      </c>
      <c r="AJ41" s="553"/>
      <c r="AK41" s="553"/>
      <c r="AL41" s="553"/>
      <c r="AM41" s="553"/>
      <c r="AN41" s="554"/>
      <c r="AP41" s="96"/>
      <c r="AQ41" s="95"/>
    </row>
    <row r="42" spans="1:40" ht="27" customHeight="1">
      <c r="A42" s="13"/>
      <c r="B42" s="117" t="s">
        <v>266</v>
      </c>
      <c r="C42" s="537">
        <v>72945</v>
      </c>
      <c r="D42" s="537">
        <v>72945</v>
      </c>
      <c r="E42" s="423" t="s">
        <v>105</v>
      </c>
      <c r="F42" s="423"/>
      <c r="G42" s="446" t="s">
        <v>111</v>
      </c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23" t="s">
        <v>145</v>
      </c>
      <c r="U42" s="423" t="s">
        <v>145</v>
      </c>
      <c r="V42" s="430" t="e">
        <f>'MEMORIA DE CÁLCULO'!#REF!</f>
        <v>#REF!</v>
      </c>
      <c r="W42" s="430"/>
      <c r="X42" s="430"/>
      <c r="Y42" s="437">
        <v>4.17</v>
      </c>
      <c r="Z42" s="437">
        <v>4.9</v>
      </c>
      <c r="AA42" s="437">
        <v>4.9</v>
      </c>
      <c r="AB42" s="428" t="e">
        <f t="shared" si="2"/>
        <v>#REF!</v>
      </c>
      <c r="AC42" s="428"/>
      <c r="AD42" s="428"/>
      <c r="AE42" s="428"/>
      <c r="AF42" s="427">
        <f t="shared" si="0"/>
        <v>5.38</v>
      </c>
      <c r="AG42" s="427"/>
      <c r="AH42" s="427"/>
      <c r="AI42" s="427" t="e">
        <f t="shared" si="1"/>
        <v>#REF!</v>
      </c>
      <c r="AJ42" s="427"/>
      <c r="AK42" s="427"/>
      <c r="AL42" s="427"/>
      <c r="AM42" s="427"/>
      <c r="AN42" s="427"/>
    </row>
    <row r="43" spans="1:40" ht="52.5" customHeight="1">
      <c r="A43" s="13"/>
      <c r="B43" s="117" t="s">
        <v>267</v>
      </c>
      <c r="C43" s="537">
        <v>93176</v>
      </c>
      <c r="D43" s="537">
        <v>93176</v>
      </c>
      <c r="E43" s="423" t="s">
        <v>105</v>
      </c>
      <c r="F43" s="423"/>
      <c r="G43" s="446" t="s">
        <v>112</v>
      </c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23" t="s">
        <v>148</v>
      </c>
      <c r="U43" s="423" t="s">
        <v>148</v>
      </c>
      <c r="V43" s="430" t="e">
        <f>'MEMORIA DE CÁLCULO'!#REF!</f>
        <v>#REF!</v>
      </c>
      <c r="W43" s="430"/>
      <c r="X43" s="430"/>
      <c r="Y43" s="437">
        <v>0.38</v>
      </c>
      <c r="Z43" s="437">
        <v>0.39</v>
      </c>
      <c r="AA43" s="437">
        <v>0.39</v>
      </c>
      <c r="AB43" s="428" t="e">
        <f t="shared" si="2"/>
        <v>#REF!</v>
      </c>
      <c r="AC43" s="428"/>
      <c r="AD43" s="428"/>
      <c r="AE43" s="428"/>
      <c r="AF43" s="427">
        <f t="shared" si="0"/>
        <v>0.49</v>
      </c>
      <c r="AG43" s="427"/>
      <c r="AH43" s="427"/>
      <c r="AI43" s="427" t="e">
        <f t="shared" si="1"/>
        <v>#REF!</v>
      </c>
      <c r="AJ43" s="427"/>
      <c r="AK43" s="427"/>
      <c r="AL43" s="427"/>
      <c r="AM43" s="427"/>
      <c r="AN43" s="427"/>
    </row>
    <row r="44" spans="1:40" ht="30.75" customHeight="1">
      <c r="A44" s="13"/>
      <c r="B44" s="117" t="s">
        <v>268</v>
      </c>
      <c r="C44" s="537">
        <v>72943</v>
      </c>
      <c r="D44" s="537">
        <v>72943</v>
      </c>
      <c r="E44" s="423" t="s">
        <v>105</v>
      </c>
      <c r="F44" s="423"/>
      <c r="G44" s="446" t="s">
        <v>113</v>
      </c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23" t="s">
        <v>145</v>
      </c>
      <c r="U44" s="423" t="s">
        <v>145</v>
      </c>
      <c r="V44" s="430" t="e">
        <f>'MEMORIA DE CÁLCULO'!#REF!</f>
        <v>#REF!</v>
      </c>
      <c r="W44" s="430"/>
      <c r="X44" s="430"/>
      <c r="Y44" s="437">
        <v>1.21</v>
      </c>
      <c r="Z44" s="437">
        <v>1.28</v>
      </c>
      <c r="AA44" s="437">
        <v>1.28</v>
      </c>
      <c r="AB44" s="428" t="e">
        <f t="shared" si="2"/>
        <v>#REF!</v>
      </c>
      <c r="AC44" s="428"/>
      <c r="AD44" s="428"/>
      <c r="AE44" s="428"/>
      <c r="AF44" s="427">
        <f t="shared" si="0"/>
        <v>1.56</v>
      </c>
      <c r="AG44" s="427"/>
      <c r="AH44" s="427"/>
      <c r="AI44" s="427" t="e">
        <f t="shared" si="1"/>
        <v>#REF!</v>
      </c>
      <c r="AJ44" s="427"/>
      <c r="AK44" s="427"/>
      <c r="AL44" s="427"/>
      <c r="AM44" s="427"/>
      <c r="AN44" s="427"/>
    </row>
    <row r="45" spans="1:40" ht="60" customHeight="1">
      <c r="A45" s="13"/>
      <c r="B45" s="117" t="s">
        <v>269</v>
      </c>
      <c r="C45" s="537">
        <v>93176</v>
      </c>
      <c r="D45" s="537">
        <v>93176</v>
      </c>
      <c r="E45" s="423" t="s">
        <v>105</v>
      </c>
      <c r="F45" s="423"/>
      <c r="G45" s="446" t="s">
        <v>114</v>
      </c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23" t="s">
        <v>148</v>
      </c>
      <c r="U45" s="423" t="s">
        <v>148</v>
      </c>
      <c r="V45" s="430" t="e">
        <f>'MEMORIA DE CÁLCULO'!#REF!</f>
        <v>#REF!</v>
      </c>
      <c r="W45" s="430"/>
      <c r="X45" s="430"/>
      <c r="Y45" s="437">
        <v>0.38</v>
      </c>
      <c r="Z45" s="437">
        <v>0.39</v>
      </c>
      <c r="AA45" s="437">
        <v>0.39</v>
      </c>
      <c r="AB45" s="428" t="e">
        <f t="shared" si="2"/>
        <v>#REF!</v>
      </c>
      <c r="AC45" s="428"/>
      <c r="AD45" s="428"/>
      <c r="AE45" s="428"/>
      <c r="AF45" s="427">
        <f t="shared" si="0"/>
        <v>0.49</v>
      </c>
      <c r="AG45" s="427"/>
      <c r="AH45" s="427"/>
      <c r="AI45" s="427" t="e">
        <f t="shared" si="1"/>
        <v>#REF!</v>
      </c>
      <c r="AJ45" s="427"/>
      <c r="AK45" s="427"/>
      <c r="AL45" s="427"/>
      <c r="AM45" s="427"/>
      <c r="AN45" s="427"/>
    </row>
    <row r="46" spans="1:40" ht="43.5" customHeight="1">
      <c r="A46" s="13"/>
      <c r="B46" s="117" t="s">
        <v>270</v>
      </c>
      <c r="C46" s="537" t="s">
        <v>253</v>
      </c>
      <c r="D46" s="537">
        <v>72964</v>
      </c>
      <c r="E46" s="423" t="s">
        <v>105</v>
      </c>
      <c r="F46" s="423"/>
      <c r="G46" s="446" t="s">
        <v>254</v>
      </c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23" t="s">
        <v>153</v>
      </c>
      <c r="U46" s="423" t="s">
        <v>149</v>
      </c>
      <c r="V46" s="430" t="e">
        <f>'MEMORIA DE CÁLCULO'!#REF!</f>
        <v>#REF!</v>
      </c>
      <c r="W46" s="430"/>
      <c r="X46" s="430"/>
      <c r="Y46" s="437">
        <v>322.21</v>
      </c>
      <c r="Z46" s="437">
        <v>164.48</v>
      </c>
      <c r="AA46" s="437">
        <v>164.48</v>
      </c>
      <c r="AB46" s="428" t="e">
        <f t="shared" si="2"/>
        <v>#REF!</v>
      </c>
      <c r="AC46" s="428"/>
      <c r="AD46" s="428"/>
      <c r="AE46" s="428"/>
      <c r="AF46" s="427">
        <f t="shared" si="0"/>
        <v>415.78</v>
      </c>
      <c r="AG46" s="427"/>
      <c r="AH46" s="427"/>
      <c r="AI46" s="427" t="e">
        <f t="shared" si="1"/>
        <v>#REF!</v>
      </c>
      <c r="AJ46" s="427"/>
      <c r="AK46" s="427"/>
      <c r="AL46" s="427"/>
      <c r="AM46" s="427"/>
      <c r="AN46" s="427"/>
    </row>
    <row r="47" spans="1:40" ht="35.25" customHeight="1">
      <c r="A47" s="13"/>
      <c r="B47" s="117" t="s">
        <v>271</v>
      </c>
      <c r="C47" s="537">
        <v>95303</v>
      </c>
      <c r="D47" s="537">
        <v>95303</v>
      </c>
      <c r="E47" s="423" t="s">
        <v>105</v>
      </c>
      <c r="F47" s="423"/>
      <c r="G47" s="446" t="s">
        <v>115</v>
      </c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23" t="s">
        <v>150</v>
      </c>
      <c r="U47" s="423" t="s">
        <v>150</v>
      </c>
      <c r="V47" s="430" t="e">
        <f>'MEMORIA DE CÁLCULO'!#REF!</f>
        <v>#REF!</v>
      </c>
      <c r="W47" s="430"/>
      <c r="X47" s="430"/>
      <c r="Y47" s="437">
        <v>0.8</v>
      </c>
      <c r="Z47" s="437">
        <v>0.81</v>
      </c>
      <c r="AA47" s="437">
        <v>0.81</v>
      </c>
      <c r="AB47" s="428" t="e">
        <f t="shared" si="2"/>
        <v>#REF!</v>
      </c>
      <c r="AC47" s="428"/>
      <c r="AD47" s="428"/>
      <c r="AE47" s="428"/>
      <c r="AF47" s="427">
        <f t="shared" si="0"/>
        <v>1.03</v>
      </c>
      <c r="AG47" s="427"/>
      <c r="AH47" s="427"/>
      <c r="AI47" s="427" t="e">
        <f t="shared" si="1"/>
        <v>#REF!</v>
      </c>
      <c r="AJ47" s="427"/>
      <c r="AK47" s="427"/>
      <c r="AL47" s="427"/>
      <c r="AM47" s="427"/>
      <c r="AN47" s="427"/>
    </row>
    <row r="48" spans="1:40" ht="60.75" customHeight="1">
      <c r="A48" s="13"/>
      <c r="B48" s="117" t="s">
        <v>272</v>
      </c>
      <c r="C48" s="537">
        <v>93176</v>
      </c>
      <c r="D48" s="537">
        <v>93176</v>
      </c>
      <c r="E48" s="423" t="s">
        <v>105</v>
      </c>
      <c r="F48" s="423"/>
      <c r="G48" s="446" t="s">
        <v>116</v>
      </c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23" t="s">
        <v>148</v>
      </c>
      <c r="U48" s="423" t="s">
        <v>148</v>
      </c>
      <c r="V48" s="430" t="e">
        <f>'MEMORIA DE CÁLCULO'!#REF!</f>
        <v>#REF!</v>
      </c>
      <c r="W48" s="430"/>
      <c r="X48" s="430"/>
      <c r="Y48" s="437">
        <v>0.38</v>
      </c>
      <c r="Z48" s="437">
        <v>0.39</v>
      </c>
      <c r="AA48" s="437">
        <v>0.39</v>
      </c>
      <c r="AB48" s="428" t="e">
        <f t="shared" si="2"/>
        <v>#REF!</v>
      </c>
      <c r="AC48" s="428"/>
      <c r="AD48" s="428"/>
      <c r="AE48" s="428"/>
      <c r="AF48" s="427">
        <f t="shared" si="0"/>
        <v>0.49</v>
      </c>
      <c r="AG48" s="427"/>
      <c r="AH48" s="427"/>
      <c r="AI48" s="427" t="e">
        <f t="shared" si="1"/>
        <v>#REF!</v>
      </c>
      <c r="AJ48" s="427"/>
      <c r="AK48" s="427"/>
      <c r="AL48" s="427"/>
      <c r="AM48" s="427"/>
      <c r="AN48" s="427"/>
    </row>
    <row r="49" spans="1:40" ht="33.75" customHeight="1">
      <c r="A49" s="13"/>
      <c r="B49" s="117" t="s">
        <v>273</v>
      </c>
      <c r="C49" s="537">
        <v>95302</v>
      </c>
      <c r="D49" s="537">
        <v>95302</v>
      </c>
      <c r="E49" s="423" t="s">
        <v>105</v>
      </c>
      <c r="F49" s="423"/>
      <c r="G49" s="446" t="s">
        <v>117</v>
      </c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23" t="s">
        <v>147</v>
      </c>
      <c r="U49" s="423" t="s">
        <v>147</v>
      </c>
      <c r="V49" s="430" t="e">
        <f>'MEMORIA DE CÁLCULO'!#REF!</f>
        <v>#REF!</v>
      </c>
      <c r="W49" s="430"/>
      <c r="X49" s="430"/>
      <c r="Y49" s="437">
        <v>1.16</v>
      </c>
      <c r="Z49" s="437">
        <v>1.18</v>
      </c>
      <c r="AA49" s="437">
        <v>1.18</v>
      </c>
      <c r="AB49" s="428" t="e">
        <f t="shared" si="2"/>
        <v>#REF!</v>
      </c>
      <c r="AC49" s="428"/>
      <c r="AD49" s="428"/>
      <c r="AE49" s="428"/>
      <c r="AF49" s="427">
        <f t="shared" si="0"/>
        <v>1.5</v>
      </c>
      <c r="AG49" s="427"/>
      <c r="AH49" s="427"/>
      <c r="AI49" s="427" t="e">
        <f t="shared" si="1"/>
        <v>#REF!</v>
      </c>
      <c r="AJ49" s="427"/>
      <c r="AK49" s="427"/>
      <c r="AL49" s="427"/>
      <c r="AM49" s="427"/>
      <c r="AN49" s="427"/>
    </row>
    <row r="50" spans="1:40" ht="28.5" customHeight="1">
      <c r="A50" s="13"/>
      <c r="B50" s="117" t="s">
        <v>274</v>
      </c>
      <c r="C50" s="537">
        <v>83356</v>
      </c>
      <c r="D50" s="537">
        <v>83356</v>
      </c>
      <c r="E50" s="423" t="s">
        <v>105</v>
      </c>
      <c r="F50" s="423"/>
      <c r="G50" s="446" t="s">
        <v>118</v>
      </c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23" t="s">
        <v>147</v>
      </c>
      <c r="U50" s="423" t="s">
        <v>147</v>
      </c>
      <c r="V50" s="430" t="e">
        <f>'MEMORIA DE CÁLCULO'!#REF!</f>
        <v>#REF!</v>
      </c>
      <c r="W50" s="430"/>
      <c r="X50" s="430"/>
      <c r="Y50" s="437">
        <v>0.63</v>
      </c>
      <c r="Z50" s="437">
        <v>0.63</v>
      </c>
      <c r="AA50" s="437">
        <v>0.63</v>
      </c>
      <c r="AB50" s="428" t="e">
        <f t="shared" si="2"/>
        <v>#REF!</v>
      </c>
      <c r="AC50" s="428"/>
      <c r="AD50" s="428"/>
      <c r="AE50" s="428"/>
      <c r="AF50" s="427">
        <f t="shared" si="0"/>
        <v>0.81</v>
      </c>
      <c r="AG50" s="427"/>
      <c r="AH50" s="427"/>
      <c r="AI50" s="427" t="e">
        <f t="shared" si="1"/>
        <v>#REF!</v>
      </c>
      <c r="AJ50" s="427"/>
      <c r="AK50" s="427"/>
      <c r="AL50" s="427"/>
      <c r="AM50" s="427"/>
      <c r="AN50" s="427"/>
    </row>
    <row r="51" spans="1:40" ht="12" customHeight="1">
      <c r="A51" s="13"/>
      <c r="B51" s="117"/>
      <c r="C51" s="442" t="s">
        <v>227</v>
      </c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4"/>
      <c r="AI51" s="439" t="e">
        <f>SUM(AI42:AN50)</f>
        <v>#REF!</v>
      </c>
      <c r="AJ51" s="440"/>
      <c r="AK51" s="440"/>
      <c r="AL51" s="440"/>
      <c r="AM51" s="440"/>
      <c r="AN51" s="441"/>
    </row>
    <row r="52" spans="1:43" ht="17.25" customHeight="1">
      <c r="A52" s="13"/>
      <c r="B52" s="116">
        <v>4</v>
      </c>
      <c r="C52" s="538"/>
      <c r="D52" s="539"/>
      <c r="E52" s="539"/>
      <c r="F52" s="540"/>
      <c r="G52" s="552" t="s">
        <v>119</v>
      </c>
      <c r="H52" s="553"/>
      <c r="I52" s="553"/>
      <c r="J52" s="553"/>
      <c r="K52" s="553"/>
      <c r="L52" s="553"/>
      <c r="M52" s="553"/>
      <c r="N52" s="553"/>
      <c r="O52" s="553"/>
      <c r="P52" s="553"/>
      <c r="Q52" s="553"/>
      <c r="R52" s="553"/>
      <c r="S52" s="553"/>
      <c r="T52" s="553"/>
      <c r="U52" s="553"/>
      <c r="V52" s="553"/>
      <c r="W52" s="553"/>
      <c r="X52" s="553"/>
      <c r="Y52" s="553"/>
      <c r="Z52" s="553"/>
      <c r="AA52" s="553"/>
      <c r="AB52" s="553">
        <f t="shared" si="2"/>
      </c>
      <c r="AC52" s="553"/>
      <c r="AD52" s="553"/>
      <c r="AE52" s="553"/>
      <c r="AF52" s="553">
        <f t="shared" si="0"/>
      </c>
      <c r="AG52" s="553"/>
      <c r="AH52" s="553"/>
      <c r="AI52" s="553">
        <f t="shared" si="1"/>
      </c>
      <c r="AJ52" s="553"/>
      <c r="AK52" s="553"/>
      <c r="AL52" s="553"/>
      <c r="AM52" s="553"/>
      <c r="AN52" s="554"/>
      <c r="AP52" s="96"/>
      <c r="AQ52" s="95"/>
    </row>
    <row r="53" spans="1:40" ht="47.25" customHeight="1">
      <c r="A53" s="13"/>
      <c r="B53" s="117" t="s">
        <v>275</v>
      </c>
      <c r="C53" s="423">
        <v>94269</v>
      </c>
      <c r="D53" s="423"/>
      <c r="E53" s="423" t="s">
        <v>105</v>
      </c>
      <c r="F53" s="423"/>
      <c r="G53" s="446" t="s">
        <v>120</v>
      </c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5" t="s">
        <v>151</v>
      </c>
      <c r="U53" s="445"/>
      <c r="V53" s="430" t="e">
        <f>'MEMORIA DE CÁLCULO'!#REF!</f>
        <v>#REF!</v>
      </c>
      <c r="W53" s="430"/>
      <c r="X53" s="430"/>
      <c r="Y53" s="437">
        <v>38.11</v>
      </c>
      <c r="Z53" s="437"/>
      <c r="AA53" s="437"/>
      <c r="AB53" s="428" t="e">
        <f t="shared" si="2"/>
        <v>#REF!</v>
      </c>
      <c r="AC53" s="428"/>
      <c r="AD53" s="428"/>
      <c r="AE53" s="428"/>
      <c r="AF53" s="427">
        <f t="shared" si="0"/>
        <v>49.18</v>
      </c>
      <c r="AG53" s="427"/>
      <c r="AH53" s="427"/>
      <c r="AI53" s="427" t="e">
        <f t="shared" si="1"/>
        <v>#REF!</v>
      </c>
      <c r="AJ53" s="427"/>
      <c r="AK53" s="427"/>
      <c r="AL53" s="427"/>
      <c r="AM53" s="427"/>
      <c r="AN53" s="427"/>
    </row>
    <row r="54" spans="1:40" ht="12" customHeight="1">
      <c r="A54" s="13"/>
      <c r="B54" s="117"/>
      <c r="C54" s="442" t="s">
        <v>227</v>
      </c>
      <c r="D54" s="443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443"/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3"/>
      <c r="AC54" s="443"/>
      <c r="AD54" s="443"/>
      <c r="AE54" s="443"/>
      <c r="AF54" s="443"/>
      <c r="AG54" s="443"/>
      <c r="AH54" s="444"/>
      <c r="AI54" s="439" t="e">
        <f>SUM(AI53)</f>
        <v>#REF!</v>
      </c>
      <c r="AJ54" s="440"/>
      <c r="AK54" s="440"/>
      <c r="AL54" s="440"/>
      <c r="AM54" s="440"/>
      <c r="AN54" s="441"/>
    </row>
    <row r="55" spans="1:43" ht="17.25" customHeight="1">
      <c r="A55" s="13"/>
      <c r="B55" s="116">
        <v>5</v>
      </c>
      <c r="C55" s="421"/>
      <c r="D55" s="557"/>
      <c r="E55" s="557"/>
      <c r="F55" s="422"/>
      <c r="G55" s="552" t="s">
        <v>121</v>
      </c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>
        <f t="shared" si="2"/>
      </c>
      <c r="AC55" s="553"/>
      <c r="AD55" s="553"/>
      <c r="AE55" s="553"/>
      <c r="AF55" s="553">
        <f t="shared" si="0"/>
      </c>
      <c r="AG55" s="553"/>
      <c r="AH55" s="553"/>
      <c r="AI55" s="553">
        <f t="shared" si="1"/>
      </c>
      <c r="AJ55" s="553"/>
      <c r="AK55" s="553"/>
      <c r="AL55" s="553"/>
      <c r="AM55" s="553"/>
      <c r="AN55" s="554"/>
      <c r="AP55" s="96"/>
      <c r="AQ55" s="95"/>
    </row>
    <row r="56" spans="1:40" ht="22.5" customHeight="1">
      <c r="A56" s="13"/>
      <c r="B56" s="117" t="s">
        <v>276</v>
      </c>
      <c r="C56" s="421"/>
      <c r="D56" s="422"/>
      <c r="E56" s="421" t="s">
        <v>103</v>
      </c>
      <c r="F56" s="422"/>
      <c r="G56" s="446" t="s">
        <v>122</v>
      </c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5" t="s">
        <v>151</v>
      </c>
      <c r="U56" s="445"/>
      <c r="V56" s="430" t="e">
        <f>'MEMORIA DE CÁLCULO'!#REF!</f>
        <v>#REF!</v>
      </c>
      <c r="W56" s="430"/>
      <c r="X56" s="430"/>
      <c r="Y56" s="437">
        <v>32.92726633315912</v>
      </c>
      <c r="Z56" s="437"/>
      <c r="AA56" s="437"/>
      <c r="AB56" s="428" t="e">
        <f t="shared" si="2"/>
        <v>#REF!</v>
      </c>
      <c r="AC56" s="428"/>
      <c r="AD56" s="428"/>
      <c r="AE56" s="428"/>
      <c r="AF56" s="427">
        <f t="shared" si="0"/>
        <v>42.49</v>
      </c>
      <c r="AG56" s="427"/>
      <c r="AH56" s="427"/>
      <c r="AI56" s="427" t="e">
        <f t="shared" si="1"/>
        <v>#REF!</v>
      </c>
      <c r="AJ56" s="427"/>
      <c r="AK56" s="427"/>
      <c r="AL56" s="427"/>
      <c r="AM56" s="427"/>
      <c r="AN56" s="427"/>
    </row>
    <row r="57" spans="1:40" ht="12" customHeight="1">
      <c r="A57" s="13"/>
      <c r="B57" s="117"/>
      <c r="C57" s="442" t="s">
        <v>227</v>
      </c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4"/>
      <c r="AI57" s="439" t="e">
        <f>SUM(AI56)</f>
        <v>#REF!</v>
      </c>
      <c r="AJ57" s="440"/>
      <c r="AK57" s="440"/>
      <c r="AL57" s="440"/>
      <c r="AM57" s="440"/>
      <c r="AN57" s="441"/>
    </row>
    <row r="58" spans="1:43" ht="17.25" customHeight="1">
      <c r="A58" s="13"/>
      <c r="B58" s="116">
        <v>6</v>
      </c>
      <c r="C58" s="421"/>
      <c r="D58" s="557"/>
      <c r="E58" s="557"/>
      <c r="F58" s="422"/>
      <c r="G58" s="552" t="s">
        <v>123</v>
      </c>
      <c r="H58" s="553"/>
      <c r="I58" s="553"/>
      <c r="J58" s="553"/>
      <c r="K58" s="553"/>
      <c r="L58" s="553"/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>
        <f t="shared" si="2"/>
      </c>
      <c r="AC58" s="553"/>
      <c r="AD58" s="553"/>
      <c r="AE58" s="553"/>
      <c r="AF58" s="553">
        <f t="shared" si="0"/>
      </c>
      <c r="AG58" s="553"/>
      <c r="AH58" s="553"/>
      <c r="AI58" s="553">
        <f t="shared" si="1"/>
      </c>
      <c r="AJ58" s="553"/>
      <c r="AK58" s="553"/>
      <c r="AL58" s="553"/>
      <c r="AM58" s="553"/>
      <c r="AN58" s="554"/>
      <c r="AP58" s="96"/>
      <c r="AQ58" s="95"/>
    </row>
    <row r="59" spans="1:48" s="119" customFormat="1" ht="34.5" customHeight="1">
      <c r="A59" s="118"/>
      <c r="B59" s="117" t="s">
        <v>278</v>
      </c>
      <c r="C59" s="421">
        <v>94992</v>
      </c>
      <c r="D59" s="422">
        <v>94992</v>
      </c>
      <c r="E59" s="421" t="s">
        <v>105</v>
      </c>
      <c r="F59" s="422"/>
      <c r="G59" s="446" t="s">
        <v>124</v>
      </c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23" t="s">
        <v>145</v>
      </c>
      <c r="U59" s="423"/>
      <c r="V59" s="430" t="e">
        <f>'MEMORIA DE CÁLCULO'!#REF!</f>
        <v>#REF!</v>
      </c>
      <c r="W59" s="430"/>
      <c r="X59" s="430"/>
      <c r="Y59" s="437">
        <v>48.14</v>
      </c>
      <c r="Z59" s="437">
        <v>50.25</v>
      </c>
      <c r="AA59" s="437">
        <v>50.25</v>
      </c>
      <c r="AB59" s="428" t="e">
        <f t="shared" si="2"/>
        <v>#REF!</v>
      </c>
      <c r="AC59" s="428"/>
      <c r="AD59" s="428"/>
      <c r="AE59" s="428"/>
      <c r="AF59" s="427">
        <f t="shared" si="0"/>
        <v>62.12</v>
      </c>
      <c r="AG59" s="427"/>
      <c r="AH59" s="427"/>
      <c r="AI59" s="427" t="e">
        <f t="shared" si="1"/>
        <v>#REF!</v>
      </c>
      <c r="AJ59" s="427"/>
      <c r="AK59" s="427"/>
      <c r="AL59" s="427"/>
      <c r="AM59" s="427"/>
      <c r="AN59" s="427"/>
      <c r="AV59" s="120"/>
    </row>
    <row r="60" spans="1:48" s="119" customFormat="1" ht="34.5" customHeight="1">
      <c r="A60" s="118"/>
      <c r="B60" s="117" t="s">
        <v>279</v>
      </c>
      <c r="C60" s="421"/>
      <c r="D60" s="422" t="s">
        <v>103</v>
      </c>
      <c r="E60" s="421" t="s">
        <v>103</v>
      </c>
      <c r="F60" s="422" t="s">
        <v>103</v>
      </c>
      <c r="G60" s="446" t="s">
        <v>125</v>
      </c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23" t="s">
        <v>145</v>
      </c>
      <c r="U60" s="423"/>
      <c r="V60" s="430">
        <f>86.1+36.9</f>
        <v>123</v>
      </c>
      <c r="W60" s="430">
        <v>13</v>
      </c>
      <c r="X60" s="430">
        <v>13</v>
      </c>
      <c r="Y60" s="437">
        <f>CPU!I138</f>
        <v>70.511</v>
      </c>
      <c r="Z60" s="437"/>
      <c r="AA60" s="437"/>
      <c r="AB60" s="438">
        <f>IF(T60="","",ROUND(V60*Y60,2))</f>
        <v>8672.85</v>
      </c>
      <c r="AC60" s="438"/>
      <c r="AD60" s="438"/>
      <c r="AE60" s="438"/>
      <c r="AF60" s="429">
        <f>IF(T60="","",ROUND(Y60*(1+$AJ$18),2))</f>
        <v>90.99</v>
      </c>
      <c r="AG60" s="429"/>
      <c r="AH60" s="429"/>
      <c r="AI60" s="429">
        <f>IF(T60="","",ROUND(V60*AF60,2))</f>
        <v>11191.77</v>
      </c>
      <c r="AJ60" s="429"/>
      <c r="AK60" s="429"/>
      <c r="AL60" s="429"/>
      <c r="AM60" s="429"/>
      <c r="AN60" s="429"/>
      <c r="AV60" s="120"/>
    </row>
    <row r="61" spans="1:48" s="119" customFormat="1" ht="51" customHeight="1">
      <c r="A61" s="118"/>
      <c r="B61" s="117" t="s">
        <v>280</v>
      </c>
      <c r="C61" s="421"/>
      <c r="D61" s="422" t="s">
        <v>103</v>
      </c>
      <c r="E61" s="421" t="s">
        <v>103</v>
      </c>
      <c r="F61" s="422" t="s">
        <v>103</v>
      </c>
      <c r="G61" s="446" t="s">
        <v>290</v>
      </c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23" t="s">
        <v>145</v>
      </c>
      <c r="U61" s="423" t="s">
        <v>145</v>
      </c>
      <c r="V61" s="430">
        <f>875.75*0.25*2</f>
        <v>437.875</v>
      </c>
      <c r="W61" s="430">
        <v>185.33</v>
      </c>
      <c r="X61" s="430">
        <v>185.33</v>
      </c>
      <c r="Y61" s="437">
        <f>CPU!I82</f>
        <v>60.074076</v>
      </c>
      <c r="Z61" s="437"/>
      <c r="AA61" s="437"/>
      <c r="AB61" s="438">
        <f>IF(T61="","",ROUND(V61*Y61,2))</f>
        <v>26304.94</v>
      </c>
      <c r="AC61" s="438"/>
      <c r="AD61" s="438"/>
      <c r="AE61" s="438"/>
      <c r="AF61" s="429">
        <f>IF(T61="","",ROUND(Y61*(1+$AJ$18),2))</f>
        <v>77.52</v>
      </c>
      <c r="AG61" s="429"/>
      <c r="AH61" s="429"/>
      <c r="AI61" s="429">
        <f>IF(T61="","",ROUND(V61*AF61,2))</f>
        <v>33944.07</v>
      </c>
      <c r="AJ61" s="429"/>
      <c r="AK61" s="429"/>
      <c r="AL61" s="429"/>
      <c r="AM61" s="429"/>
      <c r="AN61" s="429"/>
      <c r="AV61" s="120"/>
    </row>
    <row r="62" spans="1:48" s="122" customFormat="1" ht="50.25" customHeight="1">
      <c r="A62" s="121"/>
      <c r="B62" s="117" t="s">
        <v>281</v>
      </c>
      <c r="C62" s="421"/>
      <c r="D62" s="422"/>
      <c r="E62" s="421" t="s">
        <v>103</v>
      </c>
      <c r="F62" s="422" t="s">
        <v>103</v>
      </c>
      <c r="G62" s="446" t="s">
        <v>291</v>
      </c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6"/>
      <c r="T62" s="423" t="s">
        <v>145</v>
      </c>
      <c r="U62" s="423" t="s">
        <v>145</v>
      </c>
      <c r="V62" s="430">
        <f>V61*0.2</f>
        <v>87.575</v>
      </c>
      <c r="W62" s="430">
        <v>16</v>
      </c>
      <c r="X62" s="430">
        <v>16</v>
      </c>
      <c r="Y62" s="437">
        <f>CPU!I110</f>
        <v>73.77407600000001</v>
      </c>
      <c r="Z62" s="437"/>
      <c r="AA62" s="437"/>
      <c r="AB62" s="438">
        <f>IF(T62="","",ROUND(V62*Y62,2))</f>
        <v>6460.76</v>
      </c>
      <c r="AC62" s="438"/>
      <c r="AD62" s="438"/>
      <c r="AE62" s="438"/>
      <c r="AF62" s="429">
        <f>IF(T62="","",ROUND(Y62*(1+$AJ$18),2))</f>
        <v>95.2</v>
      </c>
      <c r="AG62" s="429"/>
      <c r="AH62" s="429"/>
      <c r="AI62" s="429">
        <f>IF(T62="","",ROUND(V62*AF62,2))</f>
        <v>8337.14</v>
      </c>
      <c r="AJ62" s="429"/>
      <c r="AK62" s="429"/>
      <c r="AL62" s="429"/>
      <c r="AM62" s="429"/>
      <c r="AN62" s="429"/>
      <c r="AV62" s="123"/>
    </row>
    <row r="63" spans="1:40" ht="12" customHeight="1">
      <c r="A63" s="13"/>
      <c r="B63" s="117"/>
      <c r="C63" s="442" t="s">
        <v>227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4"/>
      <c r="AI63" s="439" t="e">
        <f>SUM(AI59:AN62)</f>
        <v>#REF!</v>
      </c>
      <c r="AJ63" s="440"/>
      <c r="AK63" s="440"/>
      <c r="AL63" s="440"/>
      <c r="AM63" s="440"/>
      <c r="AN63" s="441"/>
    </row>
    <row r="64" spans="1:43" ht="17.25" customHeight="1">
      <c r="A64" s="13"/>
      <c r="B64" s="116">
        <v>7</v>
      </c>
      <c r="C64" s="421"/>
      <c r="D64" s="557"/>
      <c r="E64" s="557"/>
      <c r="F64" s="422"/>
      <c r="G64" s="552" t="s">
        <v>128</v>
      </c>
      <c r="H64" s="553"/>
      <c r="I64" s="553"/>
      <c r="J64" s="553"/>
      <c r="K64" s="553"/>
      <c r="L64" s="553"/>
      <c r="M64" s="553"/>
      <c r="N64" s="553"/>
      <c r="O64" s="553"/>
      <c r="P64" s="553"/>
      <c r="Q64" s="553"/>
      <c r="R64" s="553"/>
      <c r="S64" s="553"/>
      <c r="T64" s="553"/>
      <c r="U64" s="553"/>
      <c r="V64" s="553"/>
      <c r="W64" s="553"/>
      <c r="X64" s="553"/>
      <c r="Y64" s="553"/>
      <c r="Z64" s="553"/>
      <c r="AA64" s="553"/>
      <c r="AB64" s="553">
        <f>IF(T64="","",ROUND(V64*Y64,2))</f>
      </c>
      <c r="AC64" s="553"/>
      <c r="AD64" s="553"/>
      <c r="AE64" s="553"/>
      <c r="AF64" s="553">
        <f>IF(T64="","",ROUND(Y64*(1+$AJ$18),2))</f>
      </c>
      <c r="AG64" s="553"/>
      <c r="AH64" s="553"/>
      <c r="AI64" s="553">
        <f>IF(T64="","",ROUND(V64*AF64,2))</f>
      </c>
      <c r="AJ64" s="553"/>
      <c r="AK64" s="553"/>
      <c r="AL64" s="553"/>
      <c r="AM64" s="553"/>
      <c r="AN64" s="554"/>
      <c r="AP64" s="96"/>
      <c r="AQ64" s="95"/>
    </row>
    <row r="65" spans="1:48" s="119" customFormat="1" ht="25.5" customHeight="1">
      <c r="A65" s="118"/>
      <c r="B65" s="117" t="s">
        <v>277</v>
      </c>
      <c r="C65" s="421">
        <v>72947</v>
      </c>
      <c r="D65" s="422">
        <v>84665</v>
      </c>
      <c r="E65" s="421" t="s">
        <v>105</v>
      </c>
      <c r="F65" s="422"/>
      <c r="G65" s="446" t="s">
        <v>255</v>
      </c>
      <c r="H65" s="446"/>
      <c r="I65" s="446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23" t="s">
        <v>145</v>
      </c>
      <c r="U65" s="423" t="s">
        <v>145</v>
      </c>
      <c r="V65" s="429">
        <f>384.48+159.52</f>
        <v>544</v>
      </c>
      <c r="W65" s="429">
        <v>100</v>
      </c>
      <c r="X65" s="429">
        <v>100</v>
      </c>
      <c r="Y65" s="437">
        <v>20.7</v>
      </c>
      <c r="Z65" s="437">
        <v>17.38</v>
      </c>
      <c r="AA65" s="437">
        <v>17.38</v>
      </c>
      <c r="AB65" s="438">
        <v>147.74</v>
      </c>
      <c r="AC65" s="438"/>
      <c r="AD65" s="438"/>
      <c r="AE65" s="438"/>
      <c r="AF65" s="429">
        <f>IF(T65="","",ROUND(Y65*(1+$AJ$18),2))</f>
        <v>26.71</v>
      </c>
      <c r="AG65" s="429"/>
      <c r="AH65" s="429"/>
      <c r="AI65" s="429">
        <f>IF(T65="","",ROUND(V65*AF65,2))</f>
        <v>14530.24</v>
      </c>
      <c r="AJ65" s="429"/>
      <c r="AK65" s="429"/>
      <c r="AL65" s="429"/>
      <c r="AM65" s="429"/>
      <c r="AN65" s="429"/>
      <c r="AV65" s="120"/>
    </row>
    <row r="66" spans="1:48" s="119" customFormat="1" ht="34.5" customHeight="1">
      <c r="A66" s="118"/>
      <c r="B66" s="117" t="s">
        <v>282</v>
      </c>
      <c r="C66" s="421" t="s">
        <v>133</v>
      </c>
      <c r="D66" s="422" t="s">
        <v>133</v>
      </c>
      <c r="E66" s="421" t="s">
        <v>135</v>
      </c>
      <c r="F66" s="422"/>
      <c r="G66" s="446" t="s">
        <v>131</v>
      </c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23" t="s">
        <v>154</v>
      </c>
      <c r="U66" s="423" t="s">
        <v>154</v>
      </c>
      <c r="V66" s="429">
        <f>2.4+0.58+1.68+2.32</f>
        <v>6.98</v>
      </c>
      <c r="W66" s="429">
        <v>0.8</v>
      </c>
      <c r="X66" s="429">
        <v>0.8</v>
      </c>
      <c r="Y66" s="437">
        <v>227.23</v>
      </c>
      <c r="Z66" s="437">
        <v>227.23</v>
      </c>
      <c r="AA66" s="437">
        <v>227.23</v>
      </c>
      <c r="AB66" s="428">
        <f>IF(T66="","",ROUND(V66*Y66,2))</f>
        <v>1586.07</v>
      </c>
      <c r="AC66" s="428"/>
      <c r="AD66" s="428"/>
      <c r="AE66" s="428"/>
      <c r="AF66" s="427">
        <f>IF(T66="","",ROUND(Y66*(1+$AJ$18),2))</f>
        <v>293.22</v>
      </c>
      <c r="AG66" s="427"/>
      <c r="AH66" s="427"/>
      <c r="AI66" s="427">
        <f>IF(T66="","",ROUND(V66*AF66,2))</f>
        <v>2046.68</v>
      </c>
      <c r="AJ66" s="427"/>
      <c r="AK66" s="427"/>
      <c r="AL66" s="427"/>
      <c r="AM66" s="427"/>
      <c r="AN66" s="427"/>
      <c r="AV66" s="120"/>
    </row>
    <row r="67" spans="1:48" s="119" customFormat="1" ht="24" customHeight="1">
      <c r="A67" s="118"/>
      <c r="B67" s="117" t="s">
        <v>283</v>
      </c>
      <c r="C67" s="421" t="s">
        <v>134</v>
      </c>
      <c r="D67" s="422" t="s">
        <v>134</v>
      </c>
      <c r="E67" s="421" t="s">
        <v>105</v>
      </c>
      <c r="F67" s="422"/>
      <c r="G67" s="446" t="s">
        <v>132</v>
      </c>
      <c r="H67" s="446"/>
      <c r="I67" s="446"/>
      <c r="J67" s="446"/>
      <c r="K67" s="446"/>
      <c r="L67" s="446"/>
      <c r="M67" s="446"/>
      <c r="N67" s="446"/>
      <c r="O67" s="446"/>
      <c r="P67" s="446"/>
      <c r="Q67" s="446"/>
      <c r="R67" s="446"/>
      <c r="S67" s="446"/>
      <c r="T67" s="423" t="s">
        <v>152</v>
      </c>
      <c r="U67" s="423" t="s">
        <v>152</v>
      </c>
      <c r="V67" s="429">
        <v>8</v>
      </c>
      <c r="W67" s="429">
        <v>3</v>
      </c>
      <c r="X67" s="429">
        <v>3</v>
      </c>
      <c r="Y67" s="437">
        <v>84.48</v>
      </c>
      <c r="Z67" s="437">
        <v>84.98</v>
      </c>
      <c r="AA67" s="437">
        <v>84.98</v>
      </c>
      <c r="AB67" s="428">
        <f>IF(T67="","",ROUND(V67*Y67,2))</f>
        <v>675.84</v>
      </c>
      <c r="AC67" s="428"/>
      <c r="AD67" s="428"/>
      <c r="AE67" s="428"/>
      <c r="AF67" s="427">
        <f>IF(T67="","",ROUND(Y67*(1+$AJ$18),2))</f>
        <v>109.01</v>
      </c>
      <c r="AG67" s="427"/>
      <c r="AH67" s="427"/>
      <c r="AI67" s="427">
        <f>IF(T67="","",ROUND(V67*AF67,2))</f>
        <v>872.08</v>
      </c>
      <c r="AJ67" s="427"/>
      <c r="AK67" s="427"/>
      <c r="AL67" s="427"/>
      <c r="AM67" s="427"/>
      <c r="AN67" s="427"/>
      <c r="AV67" s="120"/>
    </row>
    <row r="68" spans="1:40" ht="12" customHeight="1">
      <c r="A68" s="13"/>
      <c r="B68" s="117"/>
      <c r="C68" s="442" t="s">
        <v>227</v>
      </c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  <c r="AE68" s="443"/>
      <c r="AF68" s="443"/>
      <c r="AG68" s="443"/>
      <c r="AH68" s="444"/>
      <c r="AI68" s="439">
        <f>SUM(AI65:AN67)</f>
        <v>17449</v>
      </c>
      <c r="AJ68" s="440"/>
      <c r="AK68" s="440"/>
      <c r="AL68" s="440"/>
      <c r="AM68" s="440"/>
      <c r="AN68" s="441"/>
    </row>
    <row r="69" spans="1:43" ht="17.25" customHeight="1">
      <c r="A69" s="13"/>
      <c r="B69" s="116">
        <v>8</v>
      </c>
      <c r="C69" s="421"/>
      <c r="D69" s="557"/>
      <c r="E69" s="557"/>
      <c r="F69" s="422"/>
      <c r="G69" s="552" t="s">
        <v>136</v>
      </c>
      <c r="H69" s="553"/>
      <c r="I69" s="553"/>
      <c r="J69" s="553"/>
      <c r="K69" s="553"/>
      <c r="L69" s="553"/>
      <c r="M69" s="553"/>
      <c r="N69" s="553"/>
      <c r="O69" s="553"/>
      <c r="P69" s="553"/>
      <c r="Q69" s="553"/>
      <c r="R69" s="553"/>
      <c r="S69" s="553"/>
      <c r="T69" s="553"/>
      <c r="U69" s="553"/>
      <c r="V69" s="553"/>
      <c r="W69" s="553"/>
      <c r="X69" s="553"/>
      <c r="Y69" s="553"/>
      <c r="Z69" s="553"/>
      <c r="AA69" s="553"/>
      <c r="AB69" s="553"/>
      <c r="AC69" s="553"/>
      <c r="AD69" s="553"/>
      <c r="AE69" s="553"/>
      <c r="AF69" s="553"/>
      <c r="AG69" s="553"/>
      <c r="AH69" s="553"/>
      <c r="AI69" s="553"/>
      <c r="AJ69" s="553"/>
      <c r="AK69" s="553"/>
      <c r="AL69" s="553"/>
      <c r="AM69" s="553"/>
      <c r="AN69" s="554"/>
      <c r="AP69" s="96"/>
      <c r="AQ69" s="95"/>
    </row>
    <row r="70" spans="1:48" s="39" customFormat="1" ht="26.25" customHeight="1">
      <c r="A70" s="106"/>
      <c r="B70" s="117" t="s">
        <v>284</v>
      </c>
      <c r="C70" s="421" t="s">
        <v>256</v>
      </c>
      <c r="D70" s="422" t="s">
        <v>140</v>
      </c>
      <c r="E70" s="421" t="s">
        <v>105</v>
      </c>
      <c r="F70" s="422"/>
      <c r="G70" s="446" t="s">
        <v>257</v>
      </c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23" t="s">
        <v>152</v>
      </c>
      <c r="U70" s="423" t="s">
        <v>154</v>
      </c>
      <c r="V70" s="429">
        <v>6</v>
      </c>
      <c r="W70" s="429">
        <f>W42*0.1</f>
        <v>0</v>
      </c>
      <c r="X70" s="429">
        <f>X42*0.1</f>
        <v>0</v>
      </c>
      <c r="Y70" s="437">
        <v>64.42</v>
      </c>
      <c r="Z70" s="437">
        <v>0.04</v>
      </c>
      <c r="AA70" s="437">
        <v>0.04</v>
      </c>
      <c r="AB70" s="428">
        <f>IF(T70="","",ROUND(V70*Y70,2))</f>
        <v>386.52</v>
      </c>
      <c r="AC70" s="428"/>
      <c r="AD70" s="428"/>
      <c r="AE70" s="428"/>
      <c r="AF70" s="427">
        <f>IF(T70="","",ROUND(Y70*(1+$AJ$18),2))</f>
        <v>83.13</v>
      </c>
      <c r="AG70" s="427"/>
      <c r="AH70" s="427"/>
      <c r="AI70" s="427">
        <f>IF(T70="","",ROUND(V70*AF70,2))</f>
        <v>498.78</v>
      </c>
      <c r="AJ70" s="427"/>
      <c r="AK70" s="427"/>
      <c r="AL70" s="427"/>
      <c r="AM70" s="427"/>
      <c r="AN70" s="427"/>
      <c r="AV70" s="107"/>
    </row>
    <row r="71" spans="1:40" ht="26.25" customHeight="1">
      <c r="A71" s="13"/>
      <c r="B71" s="117" t="s">
        <v>285</v>
      </c>
      <c r="C71" s="421" t="s">
        <v>141</v>
      </c>
      <c r="D71" s="422" t="s">
        <v>141</v>
      </c>
      <c r="E71" s="421" t="s">
        <v>105</v>
      </c>
      <c r="F71" s="422"/>
      <c r="G71" s="446" t="s">
        <v>137</v>
      </c>
      <c r="H71" s="446"/>
      <c r="I71" s="446"/>
      <c r="J71" s="446"/>
      <c r="K71" s="446"/>
      <c r="L71" s="446"/>
      <c r="M71" s="446"/>
      <c r="N71" s="446"/>
      <c r="O71" s="446"/>
      <c r="P71" s="446"/>
      <c r="Q71" s="446"/>
      <c r="R71" s="446"/>
      <c r="S71" s="446"/>
      <c r="T71" s="423" t="s">
        <v>154</v>
      </c>
      <c r="U71" s="423" t="s">
        <v>154</v>
      </c>
      <c r="V71" s="429" t="e">
        <f>'MEMORIA DE CÁLCULO'!#REF!</f>
        <v>#REF!</v>
      </c>
      <c r="W71" s="429">
        <f>W37*0.1</f>
        <v>0</v>
      </c>
      <c r="X71" s="429">
        <f>X37*0.1</f>
        <v>0</v>
      </c>
      <c r="Y71" s="437">
        <v>0.58</v>
      </c>
      <c r="Z71" s="437">
        <v>0.64</v>
      </c>
      <c r="AA71" s="437">
        <v>0.64</v>
      </c>
      <c r="AB71" s="428" t="e">
        <f>IF(T71="","",ROUND(V71*Y71,2))</f>
        <v>#REF!</v>
      </c>
      <c r="AC71" s="428"/>
      <c r="AD71" s="428"/>
      <c r="AE71" s="428"/>
      <c r="AF71" s="427">
        <f>IF(T71="","",ROUND(Y71*(1+$AJ$18),2))</f>
        <v>0.75</v>
      </c>
      <c r="AG71" s="427"/>
      <c r="AH71" s="427"/>
      <c r="AI71" s="427" t="e">
        <f>IF(T71="","",ROUND(V71*AF71,2))</f>
        <v>#REF!</v>
      </c>
      <c r="AJ71" s="427"/>
      <c r="AK71" s="427"/>
      <c r="AL71" s="427"/>
      <c r="AM71" s="427"/>
      <c r="AN71" s="427"/>
    </row>
    <row r="72" spans="1:40" ht="26.25" customHeight="1">
      <c r="A72" s="13"/>
      <c r="B72" s="117" t="s">
        <v>286</v>
      </c>
      <c r="C72" s="421" t="s">
        <v>142</v>
      </c>
      <c r="D72" s="422" t="s">
        <v>142</v>
      </c>
      <c r="E72" s="421" t="s">
        <v>105</v>
      </c>
      <c r="F72" s="422"/>
      <c r="G72" s="446" t="s">
        <v>138</v>
      </c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23" t="s">
        <v>153</v>
      </c>
      <c r="U72" s="423" t="s">
        <v>153</v>
      </c>
      <c r="V72" s="429" t="e">
        <f>'MEMORIA DE CÁLCULO'!#REF!</f>
        <v>#REF!</v>
      </c>
      <c r="W72" s="429">
        <f>W39*0.1</f>
        <v>0</v>
      </c>
      <c r="X72" s="429">
        <f>X39*0.1</f>
        <v>0</v>
      </c>
      <c r="Y72" s="437">
        <v>1.13</v>
      </c>
      <c r="Z72" s="437">
        <v>1.24</v>
      </c>
      <c r="AA72" s="437">
        <v>1.24</v>
      </c>
      <c r="AB72" s="428" t="e">
        <f>IF(T72="","",ROUND(V72*Y72,2))</f>
        <v>#REF!</v>
      </c>
      <c r="AC72" s="428"/>
      <c r="AD72" s="428"/>
      <c r="AE72" s="428"/>
      <c r="AF72" s="427">
        <f>IF(T72="","",ROUND(Y72*(1+$AJ$18),2))</f>
        <v>1.46</v>
      </c>
      <c r="AG72" s="427"/>
      <c r="AH72" s="427"/>
      <c r="AI72" s="427" t="e">
        <f>IF(T72="","",ROUND(V72*AF72,2))</f>
        <v>#REF!</v>
      </c>
      <c r="AJ72" s="427"/>
      <c r="AK72" s="427"/>
      <c r="AL72" s="427"/>
      <c r="AM72" s="427"/>
      <c r="AN72" s="427"/>
    </row>
    <row r="73" spans="1:40" ht="36" customHeight="1">
      <c r="A73" s="13"/>
      <c r="B73" s="117" t="s">
        <v>287</v>
      </c>
      <c r="C73" s="421" t="s">
        <v>143</v>
      </c>
      <c r="D73" s="422" t="s">
        <v>143</v>
      </c>
      <c r="E73" s="421" t="s">
        <v>105</v>
      </c>
      <c r="F73" s="422"/>
      <c r="G73" s="446" t="s">
        <v>139</v>
      </c>
      <c r="H73" s="446"/>
      <c r="I73" s="446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23" t="s">
        <v>149</v>
      </c>
      <c r="U73" s="423" t="s">
        <v>149</v>
      </c>
      <c r="V73" s="429" t="e">
        <f>'MEMORIA DE CÁLCULO'!#REF!*1.9</f>
        <v>#REF!</v>
      </c>
      <c r="W73" s="429">
        <f>W46*0.1</f>
        <v>0</v>
      </c>
      <c r="X73" s="429">
        <f>X46*0.1</f>
        <v>0</v>
      </c>
      <c r="Y73" s="437">
        <v>33.72</v>
      </c>
      <c r="Z73" s="437">
        <v>36.19</v>
      </c>
      <c r="AA73" s="437">
        <v>36.19</v>
      </c>
      <c r="AB73" s="428" t="e">
        <f>IF(T73="","",ROUND(V73*Y73,2))</f>
        <v>#REF!</v>
      </c>
      <c r="AC73" s="428"/>
      <c r="AD73" s="428"/>
      <c r="AE73" s="428"/>
      <c r="AF73" s="427">
        <f>IF(T73="","",ROUND(Y73*(1+$AJ$18),2))</f>
        <v>43.51</v>
      </c>
      <c r="AG73" s="427"/>
      <c r="AH73" s="427"/>
      <c r="AI73" s="427" t="e">
        <f>IF(T73="","",ROUND(V73*AF73,2))</f>
        <v>#REF!</v>
      </c>
      <c r="AJ73" s="427"/>
      <c r="AK73" s="427"/>
      <c r="AL73" s="427"/>
      <c r="AM73" s="427"/>
      <c r="AN73" s="427"/>
    </row>
    <row r="74" spans="1:40" ht="12" customHeight="1">
      <c r="A74" s="13"/>
      <c r="B74" s="117"/>
      <c r="C74" s="442" t="s">
        <v>227</v>
      </c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4"/>
      <c r="AI74" s="439" t="e">
        <f>SUM(AI70:AN73)</f>
        <v>#REF!</v>
      </c>
      <c r="AJ74" s="440"/>
      <c r="AK74" s="440"/>
      <c r="AL74" s="440"/>
      <c r="AM74" s="440"/>
      <c r="AN74" s="441"/>
    </row>
    <row r="75" spans="1:46" ht="12" customHeight="1">
      <c r="A75" s="13"/>
      <c r="B75" s="31"/>
      <c r="C75" s="32"/>
      <c r="D75" s="32"/>
      <c r="E75" s="32"/>
      <c r="F75" s="32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32"/>
      <c r="U75" s="32"/>
      <c r="V75" s="46"/>
      <c r="W75" s="46"/>
      <c r="X75" s="47" t="s">
        <v>35</v>
      </c>
      <c r="Y75" s="550" t="s">
        <v>36</v>
      </c>
      <c r="Z75" s="551"/>
      <c r="AA75" s="551"/>
      <c r="AB75" s="551" t="e">
        <f>SUM(AB30:AE74)</f>
        <v>#REF!</v>
      </c>
      <c r="AC75" s="551"/>
      <c r="AD75" s="551"/>
      <c r="AE75" s="556"/>
      <c r="AF75" s="555" t="s">
        <v>37</v>
      </c>
      <c r="AG75" s="436"/>
      <c r="AH75" s="436"/>
      <c r="AI75" s="436" t="e">
        <f>AI74+AI68+AI63+AI57+AI54+AI51+AI40+AI34</f>
        <v>#REF!</v>
      </c>
      <c r="AJ75" s="436"/>
      <c r="AK75" s="436"/>
      <c r="AL75" s="436"/>
      <c r="AM75" s="436"/>
      <c r="AN75" s="436"/>
      <c r="AO75" s="85"/>
      <c r="AP75" s="86"/>
      <c r="AQ75" s="86"/>
      <c r="AR75" s="86"/>
      <c r="AT75" s="3" t="s">
        <v>60</v>
      </c>
    </row>
    <row r="76" spans="1:46" ht="12" customHeight="1">
      <c r="A76" s="13"/>
      <c r="B76" s="192"/>
      <c r="C76" s="13"/>
      <c r="D76" s="13"/>
      <c r="E76" s="13"/>
      <c r="F76" s="13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13"/>
      <c r="U76" s="13"/>
      <c r="V76" s="48"/>
      <c r="W76" s="48"/>
      <c r="X76" s="48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4"/>
      <c r="AP76" s="85"/>
      <c r="AT76" s="3" t="s">
        <v>61</v>
      </c>
    </row>
    <row r="77" spans="1:41" ht="12" customHeight="1">
      <c r="A77" s="13"/>
      <c r="B77" s="192"/>
      <c r="C77" s="13"/>
      <c r="D77" s="13"/>
      <c r="E77" s="13"/>
      <c r="F77" s="549" t="s">
        <v>44</v>
      </c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549"/>
      <c r="AL77" s="549"/>
      <c r="AM77" s="549"/>
      <c r="AN77" s="14"/>
      <c r="AO77" s="85"/>
    </row>
    <row r="78" spans="1:46" ht="12" customHeight="1">
      <c r="A78" s="13"/>
      <c r="B78" s="192"/>
      <c r="C78" s="13"/>
      <c r="D78" s="13"/>
      <c r="E78" s="13"/>
      <c r="F78" s="549"/>
      <c r="G78" s="549"/>
      <c r="H78" s="549"/>
      <c r="I78" s="549"/>
      <c r="J78" s="549"/>
      <c r="K78" s="549"/>
      <c r="L78" s="549"/>
      <c r="M78" s="549"/>
      <c r="N78" s="549"/>
      <c r="O78" s="549"/>
      <c r="P78" s="549"/>
      <c r="Q78" s="549"/>
      <c r="R78" s="549"/>
      <c r="S78" s="549"/>
      <c r="T78" s="549"/>
      <c r="U78" s="549"/>
      <c r="V78" s="549"/>
      <c r="W78" s="549"/>
      <c r="X78" s="549"/>
      <c r="Y78" s="549"/>
      <c r="Z78" s="549"/>
      <c r="AA78" s="549"/>
      <c r="AB78" s="549"/>
      <c r="AC78" s="549"/>
      <c r="AD78" s="549"/>
      <c r="AE78" s="549"/>
      <c r="AF78" s="549"/>
      <c r="AG78" s="549"/>
      <c r="AH78" s="549"/>
      <c r="AI78" s="549"/>
      <c r="AJ78" s="549"/>
      <c r="AK78" s="549"/>
      <c r="AL78" s="549"/>
      <c r="AM78" s="549"/>
      <c r="AN78" s="14"/>
      <c r="AP78" s="85"/>
      <c r="AT78" s="3" t="s">
        <v>51</v>
      </c>
    </row>
    <row r="79" spans="1:40" ht="12" customHeight="1">
      <c r="A79" s="13"/>
      <c r="B79" s="192"/>
      <c r="C79" s="13"/>
      <c r="D79" s="13"/>
      <c r="E79" s="13"/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49"/>
      <c r="AF79" s="549"/>
      <c r="AG79" s="549"/>
      <c r="AH79" s="549"/>
      <c r="AI79" s="549"/>
      <c r="AJ79" s="549"/>
      <c r="AK79" s="549"/>
      <c r="AL79" s="549"/>
      <c r="AM79" s="549"/>
      <c r="AN79" s="14"/>
    </row>
    <row r="80" spans="1:46" ht="12.75">
      <c r="A80" s="13"/>
      <c r="B80" s="192"/>
      <c r="C80" s="13"/>
      <c r="D80" s="13"/>
      <c r="E80" s="13"/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49"/>
      <c r="AC80" s="549"/>
      <c r="AD80" s="549"/>
      <c r="AE80" s="549"/>
      <c r="AF80" s="549"/>
      <c r="AG80" s="549"/>
      <c r="AH80" s="549"/>
      <c r="AI80" s="549"/>
      <c r="AJ80" s="549"/>
      <c r="AK80" s="549"/>
      <c r="AL80" s="549"/>
      <c r="AM80" s="549"/>
      <c r="AN80" s="14"/>
      <c r="AP80" s="85"/>
      <c r="AT80" s="3" t="s">
        <v>62</v>
      </c>
    </row>
    <row r="81" spans="1:48" s="15" customFormat="1" ht="12" customHeight="1">
      <c r="A81" s="13"/>
      <c r="B81" s="546" t="s">
        <v>292</v>
      </c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7"/>
      <c r="O81" s="547"/>
      <c r="P81" s="547"/>
      <c r="Q81" s="547"/>
      <c r="R81" s="547"/>
      <c r="S81" s="547"/>
      <c r="T81" s="547"/>
      <c r="U81" s="547"/>
      <c r="V81" s="547"/>
      <c r="W81" s="547"/>
      <c r="X81" s="547"/>
      <c r="Y81" s="547"/>
      <c r="Z81" s="547"/>
      <c r="AA81" s="547"/>
      <c r="AB81" s="547"/>
      <c r="AC81" s="547"/>
      <c r="AD81" s="547"/>
      <c r="AE81" s="547"/>
      <c r="AF81" s="547"/>
      <c r="AG81" s="547"/>
      <c r="AH81" s="547"/>
      <c r="AI81" s="547"/>
      <c r="AJ81" s="547"/>
      <c r="AK81" s="547"/>
      <c r="AL81" s="547"/>
      <c r="AM81" s="547"/>
      <c r="AN81" s="548"/>
      <c r="AV81" s="16"/>
    </row>
    <row r="82" spans="1:46" ht="12" customHeight="1">
      <c r="A82" s="13"/>
      <c r="B82" s="192"/>
      <c r="C82" s="13"/>
      <c r="D82" s="13"/>
      <c r="E82" s="13"/>
      <c r="F82" s="13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13"/>
      <c r="U82" s="13"/>
      <c r="V82" s="48"/>
      <c r="W82" s="48"/>
      <c r="X82" s="48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4"/>
      <c r="AP82" s="86"/>
      <c r="AT82" s="3" t="s">
        <v>63</v>
      </c>
    </row>
    <row r="83" spans="1:42" ht="12.75">
      <c r="A83" s="13"/>
      <c r="B83" s="192"/>
      <c r="C83" s="13"/>
      <c r="D83" s="13"/>
      <c r="E83" s="13"/>
      <c r="F83" s="13"/>
      <c r="G83" s="65"/>
      <c r="H83" s="65"/>
      <c r="I83" s="65"/>
      <c r="J83" s="65"/>
      <c r="K83" s="65"/>
      <c r="L83" s="65"/>
      <c r="M83" s="66"/>
      <c r="N83" s="66"/>
      <c r="O83" s="66"/>
      <c r="P83" s="66"/>
      <c r="Q83" s="66"/>
      <c r="R83" s="66"/>
      <c r="S83" s="66"/>
      <c r="T83" s="17"/>
      <c r="U83" s="17"/>
      <c r="V83" s="49"/>
      <c r="W83" s="49"/>
      <c r="X83" s="49"/>
      <c r="Y83" s="17"/>
      <c r="Z83" s="17"/>
      <c r="AA83" s="17"/>
      <c r="AB83" s="17"/>
      <c r="AC83" s="17"/>
      <c r="AD83" s="17"/>
      <c r="AE83" s="17"/>
      <c r="AF83" s="13"/>
      <c r="AG83" s="13"/>
      <c r="AH83" s="13"/>
      <c r="AI83" s="13"/>
      <c r="AJ83" s="13"/>
      <c r="AK83" s="13"/>
      <c r="AL83" s="13"/>
      <c r="AM83" s="13"/>
      <c r="AN83" s="14"/>
      <c r="AO83" s="85"/>
      <c r="AP83" s="85"/>
    </row>
    <row r="84" spans="1:40" ht="6" customHeight="1">
      <c r="A84" s="13"/>
      <c r="B84" s="192"/>
      <c r="C84" s="13"/>
      <c r="D84" s="13"/>
      <c r="E84" s="13"/>
      <c r="F84" s="13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13"/>
      <c r="U84" s="13"/>
      <c r="V84" s="48"/>
      <c r="W84" s="48"/>
      <c r="X84" s="48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4"/>
    </row>
    <row r="85" spans="1:40" ht="15.75" customHeight="1">
      <c r="A85" s="13"/>
      <c r="B85" s="192"/>
      <c r="C85" s="13"/>
      <c r="D85" s="13"/>
      <c r="E85" s="13"/>
      <c r="F85" s="13" t="s">
        <v>7</v>
      </c>
      <c r="G85" s="65"/>
      <c r="H85" s="65"/>
      <c r="I85" s="65"/>
      <c r="J85" s="65"/>
      <c r="K85" s="65"/>
      <c r="L85" s="65"/>
      <c r="M85" s="434" t="s">
        <v>293</v>
      </c>
      <c r="N85" s="435"/>
      <c r="O85" s="435"/>
      <c r="P85" s="435"/>
      <c r="Q85" s="435"/>
      <c r="R85" s="435"/>
      <c r="S85" s="435"/>
      <c r="T85" s="435"/>
      <c r="U85" s="435"/>
      <c r="V85" s="435"/>
      <c r="W85" s="435"/>
      <c r="X85" s="435"/>
      <c r="Y85" s="435"/>
      <c r="Z85" s="435"/>
      <c r="AA85" s="435"/>
      <c r="AB85" s="435"/>
      <c r="AC85" s="435"/>
      <c r="AD85" s="435"/>
      <c r="AE85" s="435"/>
      <c r="AF85" s="13"/>
      <c r="AG85" s="13"/>
      <c r="AH85" s="13"/>
      <c r="AI85" s="13"/>
      <c r="AJ85" s="13"/>
      <c r="AK85" s="13"/>
      <c r="AL85" s="13"/>
      <c r="AM85" s="13"/>
      <c r="AN85" s="14"/>
    </row>
    <row r="86" spans="1:40" ht="6" customHeight="1">
      <c r="A86" s="13"/>
      <c r="B86" s="192"/>
      <c r="C86" s="13"/>
      <c r="D86" s="13"/>
      <c r="E86" s="13"/>
      <c r="F86" s="13"/>
      <c r="G86" s="65"/>
      <c r="H86" s="65"/>
      <c r="I86" s="65"/>
      <c r="J86" s="65"/>
      <c r="K86" s="65"/>
      <c r="L86" s="65"/>
      <c r="M86" s="434" t="s">
        <v>294</v>
      </c>
      <c r="N86" s="435"/>
      <c r="O86" s="435"/>
      <c r="P86" s="435"/>
      <c r="Q86" s="435"/>
      <c r="R86" s="435"/>
      <c r="S86" s="435"/>
      <c r="T86" s="435"/>
      <c r="U86" s="435"/>
      <c r="V86" s="435"/>
      <c r="W86" s="435"/>
      <c r="X86" s="435"/>
      <c r="Y86" s="435"/>
      <c r="Z86" s="435"/>
      <c r="AA86" s="435"/>
      <c r="AB86" s="435"/>
      <c r="AC86" s="435"/>
      <c r="AD86" s="435"/>
      <c r="AE86" s="435"/>
      <c r="AF86" s="13"/>
      <c r="AG86" s="13"/>
      <c r="AH86" s="13"/>
      <c r="AI86" s="13"/>
      <c r="AJ86" s="13"/>
      <c r="AK86" s="13"/>
      <c r="AL86" s="13"/>
      <c r="AM86" s="13"/>
      <c r="AN86" s="14"/>
    </row>
    <row r="87" spans="1:40" ht="12" customHeight="1">
      <c r="A87" s="13"/>
      <c r="B87" s="192"/>
      <c r="C87" s="13"/>
      <c r="D87" s="13"/>
      <c r="E87" s="13"/>
      <c r="F87" s="13" t="s">
        <v>13</v>
      </c>
      <c r="G87" s="65"/>
      <c r="H87" s="65"/>
      <c r="I87" s="65"/>
      <c r="J87" s="65"/>
      <c r="K87" s="65"/>
      <c r="L87" s="65"/>
      <c r="M87" s="435"/>
      <c r="N87" s="435"/>
      <c r="O87" s="435"/>
      <c r="P87" s="435"/>
      <c r="Q87" s="435"/>
      <c r="R87" s="435"/>
      <c r="S87" s="435"/>
      <c r="T87" s="435"/>
      <c r="U87" s="435"/>
      <c r="V87" s="435"/>
      <c r="W87" s="435"/>
      <c r="X87" s="435"/>
      <c r="Y87" s="435"/>
      <c r="Z87" s="435"/>
      <c r="AA87" s="435"/>
      <c r="AB87" s="435"/>
      <c r="AC87" s="435"/>
      <c r="AD87" s="435"/>
      <c r="AE87" s="435"/>
      <c r="AF87" s="13"/>
      <c r="AG87" s="13"/>
      <c r="AH87" s="13"/>
      <c r="AI87" s="13"/>
      <c r="AJ87" s="13"/>
      <c r="AK87" s="13"/>
      <c r="AL87" s="13"/>
      <c r="AM87" s="13"/>
      <c r="AN87" s="14"/>
    </row>
    <row r="88" spans="1:42" ht="12" customHeight="1">
      <c r="A88" s="13"/>
      <c r="B88" s="192"/>
      <c r="C88" s="13"/>
      <c r="D88" s="13"/>
      <c r="E88" s="13"/>
      <c r="F88" s="13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13"/>
      <c r="U88" s="13"/>
      <c r="V88" s="48"/>
      <c r="W88" s="48"/>
      <c r="X88" s="48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4"/>
      <c r="AP88" s="85"/>
    </row>
    <row r="89" spans="1:42" ht="12" customHeight="1">
      <c r="A89" s="13"/>
      <c r="B89" s="192"/>
      <c r="C89" s="13"/>
      <c r="D89" s="13"/>
      <c r="E89" s="13"/>
      <c r="F89" s="13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13"/>
      <c r="U89" s="13"/>
      <c r="V89" s="48"/>
      <c r="W89" s="48"/>
      <c r="X89" s="48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4"/>
      <c r="AP89" s="85"/>
    </row>
    <row r="90" spans="1:42" ht="12.75">
      <c r="A90" s="13"/>
      <c r="B90" s="192"/>
      <c r="C90" s="13"/>
      <c r="D90" s="13"/>
      <c r="E90" s="13"/>
      <c r="F90" s="13"/>
      <c r="G90" s="65"/>
      <c r="H90" s="65"/>
      <c r="I90" s="65"/>
      <c r="J90" s="65"/>
      <c r="K90" s="65"/>
      <c r="L90" s="65"/>
      <c r="M90" s="66"/>
      <c r="N90" s="66"/>
      <c r="O90" s="66"/>
      <c r="P90" s="66"/>
      <c r="Q90" s="66"/>
      <c r="R90" s="66"/>
      <c r="S90" s="66"/>
      <c r="T90" s="17"/>
      <c r="U90" s="17"/>
      <c r="V90" s="49"/>
      <c r="W90" s="49"/>
      <c r="X90" s="49"/>
      <c r="Y90" s="17"/>
      <c r="Z90" s="17"/>
      <c r="AA90" s="17"/>
      <c r="AB90" s="17"/>
      <c r="AC90" s="17"/>
      <c r="AD90" s="17"/>
      <c r="AE90" s="17"/>
      <c r="AF90" s="13"/>
      <c r="AG90" s="13"/>
      <c r="AH90" s="13"/>
      <c r="AI90" s="13"/>
      <c r="AJ90" s="13"/>
      <c r="AK90" s="13"/>
      <c r="AL90" s="13"/>
      <c r="AM90" s="13"/>
      <c r="AN90" s="14"/>
      <c r="AO90" s="85"/>
      <c r="AP90" s="85"/>
    </row>
    <row r="91" spans="1:40" ht="6" customHeight="1">
      <c r="A91" s="13"/>
      <c r="B91" s="192"/>
      <c r="C91" s="13"/>
      <c r="D91" s="13"/>
      <c r="E91" s="13"/>
      <c r="F91" s="13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13"/>
      <c r="U91" s="13"/>
      <c r="V91" s="48"/>
      <c r="W91" s="48"/>
      <c r="X91" s="48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4"/>
    </row>
    <row r="92" spans="1:40" ht="15.75" customHeight="1">
      <c r="A92" s="13"/>
      <c r="B92" s="192"/>
      <c r="C92" s="13"/>
      <c r="D92" s="13"/>
      <c r="E92" s="13"/>
      <c r="F92" s="13" t="s">
        <v>249</v>
      </c>
      <c r="G92" s="65"/>
      <c r="H92" s="65"/>
      <c r="I92" s="65"/>
      <c r="J92" s="65"/>
      <c r="K92" s="65"/>
      <c r="L92" s="65"/>
      <c r="M92" s="434" t="s">
        <v>296</v>
      </c>
      <c r="N92" s="435"/>
      <c r="O92" s="435"/>
      <c r="P92" s="435"/>
      <c r="Q92" s="435"/>
      <c r="R92" s="435"/>
      <c r="S92" s="435"/>
      <c r="T92" s="435"/>
      <c r="U92" s="435"/>
      <c r="V92" s="435"/>
      <c r="W92" s="435"/>
      <c r="X92" s="435"/>
      <c r="Y92" s="435"/>
      <c r="Z92" s="435"/>
      <c r="AA92" s="435"/>
      <c r="AB92" s="435"/>
      <c r="AC92" s="435"/>
      <c r="AD92" s="435"/>
      <c r="AE92" s="435"/>
      <c r="AF92" s="13"/>
      <c r="AG92" s="13"/>
      <c r="AH92" s="13"/>
      <c r="AI92" s="13"/>
      <c r="AJ92" s="13"/>
      <c r="AK92" s="13"/>
      <c r="AL92" s="13"/>
      <c r="AM92" s="13"/>
      <c r="AN92" s="14"/>
    </row>
    <row r="93" spans="1:40" ht="6" customHeight="1">
      <c r="A93" s="13"/>
      <c r="B93" s="192"/>
      <c r="C93" s="13"/>
      <c r="D93" s="13"/>
      <c r="E93" s="13"/>
      <c r="F93" s="13"/>
      <c r="G93" s="65"/>
      <c r="H93" s="65"/>
      <c r="I93" s="65"/>
      <c r="J93" s="65"/>
      <c r="K93" s="65"/>
      <c r="L93" s="65"/>
      <c r="M93" s="434" t="s">
        <v>250</v>
      </c>
      <c r="N93" s="435"/>
      <c r="O93" s="435"/>
      <c r="P93" s="435"/>
      <c r="Q93" s="435"/>
      <c r="R93" s="435"/>
      <c r="S93" s="435"/>
      <c r="T93" s="435"/>
      <c r="U93" s="435"/>
      <c r="V93" s="435"/>
      <c r="W93" s="435"/>
      <c r="X93" s="435"/>
      <c r="Y93" s="435"/>
      <c r="Z93" s="435"/>
      <c r="AA93" s="435"/>
      <c r="AB93" s="435"/>
      <c r="AC93" s="435"/>
      <c r="AD93" s="435"/>
      <c r="AE93" s="435"/>
      <c r="AF93" s="13"/>
      <c r="AG93" s="13"/>
      <c r="AH93" s="13"/>
      <c r="AI93" s="13"/>
      <c r="AJ93" s="13"/>
      <c r="AK93" s="13"/>
      <c r="AL93" s="13"/>
      <c r="AM93" s="13"/>
      <c r="AN93" s="14"/>
    </row>
    <row r="94" spans="1:40" ht="12" customHeight="1">
      <c r="A94" s="13"/>
      <c r="B94" s="192"/>
      <c r="C94" s="13"/>
      <c r="D94" s="13"/>
      <c r="E94" s="13"/>
      <c r="F94" s="13"/>
      <c r="G94" s="65"/>
      <c r="H94" s="65"/>
      <c r="I94" s="65"/>
      <c r="J94" s="65"/>
      <c r="K94" s="65"/>
      <c r="L94" s="65"/>
      <c r="M94" s="435"/>
      <c r="N94" s="435"/>
      <c r="O94" s="435"/>
      <c r="P94" s="435"/>
      <c r="Q94" s="435"/>
      <c r="R94" s="435"/>
      <c r="S94" s="435"/>
      <c r="T94" s="435"/>
      <c r="U94" s="435"/>
      <c r="V94" s="435"/>
      <c r="W94" s="435"/>
      <c r="X94" s="435"/>
      <c r="Y94" s="435"/>
      <c r="Z94" s="435"/>
      <c r="AA94" s="435"/>
      <c r="AB94" s="435"/>
      <c r="AC94" s="435"/>
      <c r="AD94" s="435"/>
      <c r="AE94" s="435"/>
      <c r="AF94" s="13"/>
      <c r="AG94" s="13"/>
      <c r="AH94" s="13"/>
      <c r="AI94" s="13"/>
      <c r="AJ94" s="13"/>
      <c r="AK94" s="13"/>
      <c r="AL94" s="13"/>
      <c r="AM94" s="13"/>
      <c r="AN94" s="14"/>
    </row>
    <row r="95" spans="1:40" ht="6" customHeight="1">
      <c r="A95" s="13"/>
      <c r="B95" s="192"/>
      <c r="C95" s="13"/>
      <c r="D95" s="13"/>
      <c r="E95" s="13"/>
      <c r="F95" s="13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13"/>
      <c r="U95" s="13"/>
      <c r="V95" s="48"/>
      <c r="W95" s="48"/>
      <c r="X95" s="48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4"/>
    </row>
    <row r="96" spans="1:41" ht="12" customHeight="1">
      <c r="A96" s="13"/>
      <c r="B96" s="431"/>
      <c r="C96" s="432"/>
      <c r="D96" s="432"/>
      <c r="E96" s="432"/>
      <c r="F96" s="432"/>
      <c r="G96" s="432"/>
      <c r="H96" s="432"/>
      <c r="I96" s="432"/>
      <c r="J96" s="432"/>
      <c r="K96" s="432"/>
      <c r="L96" s="432"/>
      <c r="M96" s="432"/>
      <c r="N96" s="432"/>
      <c r="O96" s="432"/>
      <c r="P96" s="432"/>
      <c r="Q96" s="432"/>
      <c r="R96" s="432"/>
      <c r="S96" s="432"/>
      <c r="T96" s="432"/>
      <c r="U96" s="432"/>
      <c r="V96" s="432"/>
      <c r="W96" s="432"/>
      <c r="X96" s="432"/>
      <c r="Y96" s="432"/>
      <c r="Z96" s="432"/>
      <c r="AA96" s="432"/>
      <c r="AB96" s="432"/>
      <c r="AC96" s="432"/>
      <c r="AD96" s="432"/>
      <c r="AE96" s="432"/>
      <c r="AF96" s="432"/>
      <c r="AG96" s="432"/>
      <c r="AH96" s="432"/>
      <c r="AI96" s="432"/>
      <c r="AJ96" s="432"/>
      <c r="AK96" s="432"/>
      <c r="AL96" s="432"/>
      <c r="AM96" s="432"/>
      <c r="AN96" s="433"/>
      <c r="AO96" s="85"/>
    </row>
    <row r="97" spans="1:40" ht="12" customHeight="1">
      <c r="A97" s="13"/>
      <c r="B97" s="13"/>
      <c r="C97" s="13"/>
      <c r="D97" s="13"/>
      <c r="E97" s="13"/>
      <c r="F97" s="13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13"/>
      <c r="U97" s="13"/>
      <c r="V97" s="48"/>
      <c r="W97" s="48"/>
      <c r="X97" s="48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spans="1:40" ht="12" customHeight="1">
      <c r="A98" s="13"/>
      <c r="B98" s="13"/>
      <c r="C98" s="13"/>
      <c r="D98" s="13"/>
      <c r="E98" s="13"/>
      <c r="F98" s="13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13"/>
      <c r="U98" s="13"/>
      <c r="V98" s="48"/>
      <c r="W98" s="48"/>
      <c r="X98" s="48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spans="1:41" ht="12" customHeight="1">
      <c r="A99" s="13"/>
      <c r="B99" s="13"/>
      <c r="C99" s="13"/>
      <c r="D99" s="13"/>
      <c r="E99" s="13"/>
      <c r="F99" s="13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13"/>
      <c r="U99" s="13"/>
      <c r="V99" s="48"/>
      <c r="W99" s="48"/>
      <c r="X99" s="48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85"/>
    </row>
    <row r="100" spans="1:40" ht="12" customHeight="1">
      <c r="A100" s="13"/>
      <c r="B100" s="13"/>
      <c r="C100" s="13"/>
      <c r="D100" s="13"/>
      <c r="E100" s="13"/>
      <c r="F100" s="13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13"/>
      <c r="U100" s="13"/>
      <c r="V100" s="48"/>
      <c r="W100" s="48"/>
      <c r="X100" s="48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spans="1:40" ht="12" customHeight="1">
      <c r="A101" s="13"/>
      <c r="B101" s="13"/>
      <c r="C101" s="13"/>
      <c r="D101" s="13"/>
      <c r="E101" s="13"/>
      <c r="F101" s="13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13"/>
      <c r="U101" s="13"/>
      <c r="V101" s="48"/>
      <c r="W101" s="48"/>
      <c r="X101" s="48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spans="1:40" ht="12" customHeight="1">
      <c r="A102" s="13"/>
      <c r="B102" s="13"/>
      <c r="C102" s="13"/>
      <c r="D102" s="13"/>
      <c r="E102" s="13"/>
      <c r="F102" s="13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13"/>
      <c r="U102" s="13"/>
      <c r="V102" s="48"/>
      <c r="W102" s="48"/>
      <c r="X102" s="48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spans="1:40" ht="12" customHeight="1">
      <c r="A103" s="13"/>
      <c r="B103" s="13"/>
      <c r="C103" s="13"/>
      <c r="D103" s="13"/>
      <c r="E103" s="13"/>
      <c r="F103" s="13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13"/>
      <c r="U103" s="13"/>
      <c r="V103" s="48"/>
      <c r="W103" s="48"/>
      <c r="X103" s="48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</row>
    <row r="104" spans="1:40" ht="12" customHeight="1">
      <c r="A104" s="13"/>
      <c r="B104" s="13"/>
      <c r="C104" s="13"/>
      <c r="D104" s="13"/>
      <c r="E104" s="13"/>
      <c r="F104" s="13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13"/>
      <c r="U104" s="13"/>
      <c r="V104" s="48"/>
      <c r="W104" s="48"/>
      <c r="X104" s="48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</row>
    <row r="105" spans="1:40" ht="12" customHeight="1">
      <c r="A105" s="13"/>
      <c r="B105" s="13"/>
      <c r="C105" s="13"/>
      <c r="D105" s="13"/>
      <c r="E105" s="13"/>
      <c r="F105" s="13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13"/>
      <c r="U105" s="13"/>
      <c r="V105" s="48"/>
      <c r="W105" s="48"/>
      <c r="X105" s="48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spans="1:40" ht="12" customHeight="1">
      <c r="A106" s="13"/>
      <c r="B106" s="13"/>
      <c r="C106" s="13"/>
      <c r="D106" s="13"/>
      <c r="E106" s="13"/>
      <c r="F106" s="13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13"/>
      <c r="U106" s="13"/>
      <c r="V106" s="48"/>
      <c r="W106" s="48"/>
      <c r="X106" s="48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</row>
    <row r="107" spans="1:40" ht="12" customHeight="1">
      <c r="A107" s="13"/>
      <c r="B107" s="13"/>
      <c r="C107" s="13"/>
      <c r="D107" s="13"/>
      <c r="E107" s="13"/>
      <c r="F107" s="13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13"/>
      <c r="U107" s="13"/>
      <c r="V107" s="48"/>
      <c r="W107" s="48"/>
      <c r="X107" s="48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spans="1:40" ht="12" customHeight="1">
      <c r="A108" s="13"/>
      <c r="B108" s="13"/>
      <c r="C108" s="13"/>
      <c r="D108" s="13"/>
      <c r="E108" s="13"/>
      <c r="F108" s="13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13"/>
      <c r="U108" s="13"/>
      <c r="V108" s="48"/>
      <c r="W108" s="48"/>
      <c r="X108" s="48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spans="1:40" ht="12" customHeight="1">
      <c r="A109" s="13"/>
      <c r="B109" s="13"/>
      <c r="C109" s="13"/>
      <c r="D109" s="13"/>
      <c r="E109" s="13"/>
      <c r="F109" s="13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13"/>
      <c r="U109" s="13"/>
      <c r="V109" s="48"/>
      <c r="W109" s="48"/>
      <c r="X109" s="48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</row>
    <row r="110" spans="1:40" ht="12" customHeight="1">
      <c r="A110" s="13"/>
      <c r="B110" s="13"/>
      <c r="C110" s="13"/>
      <c r="D110" s="13"/>
      <c r="E110" s="13"/>
      <c r="F110" s="13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13"/>
      <c r="U110" s="13"/>
      <c r="V110" s="48"/>
      <c r="W110" s="48"/>
      <c r="X110" s="48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ht="12" customHeight="1">
      <c r="A111" s="13"/>
      <c r="B111" s="13"/>
      <c r="C111" s="13"/>
      <c r="D111" s="13"/>
      <c r="E111" s="13"/>
      <c r="F111" s="13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13"/>
      <c r="U111" s="13"/>
      <c r="V111" s="48"/>
      <c r="W111" s="48"/>
      <c r="X111" s="48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1:40" ht="12" customHeight="1">
      <c r="A112" s="13"/>
      <c r="B112" s="13"/>
      <c r="C112" s="13"/>
      <c r="D112" s="13"/>
      <c r="E112" s="13"/>
      <c r="F112" s="13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13"/>
      <c r="U112" s="13"/>
      <c r="V112" s="48"/>
      <c r="W112" s="48"/>
      <c r="X112" s="48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spans="1:40" ht="12" customHeight="1">
      <c r="A113" s="13"/>
      <c r="B113" s="13"/>
      <c r="C113" s="13"/>
      <c r="D113" s="13"/>
      <c r="E113" s="13"/>
      <c r="F113" s="13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13"/>
      <c r="U113" s="13"/>
      <c r="V113" s="48"/>
      <c r="W113" s="48"/>
      <c r="X113" s="48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spans="1:40" ht="12" customHeight="1">
      <c r="A114" s="13"/>
      <c r="B114" s="13"/>
      <c r="C114" s="13"/>
      <c r="D114" s="13"/>
      <c r="E114" s="13"/>
      <c r="F114" s="13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13"/>
      <c r="U114" s="13"/>
      <c r="V114" s="48"/>
      <c r="W114" s="48"/>
      <c r="X114" s="48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spans="1:40" ht="12" customHeight="1">
      <c r="A115" s="13"/>
      <c r="B115" s="13"/>
      <c r="C115" s="13"/>
      <c r="D115" s="13"/>
      <c r="E115" s="13"/>
      <c r="F115" s="13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13"/>
      <c r="U115" s="13"/>
      <c r="V115" s="48"/>
      <c r="W115" s="48"/>
      <c r="X115" s="48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</row>
    <row r="116" spans="1:40" ht="12" customHeight="1">
      <c r="A116" s="13"/>
      <c r="B116" s="13"/>
      <c r="C116" s="13"/>
      <c r="D116" s="13"/>
      <c r="E116" s="13"/>
      <c r="F116" s="13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13"/>
      <c r="U116" s="13"/>
      <c r="V116" s="48"/>
      <c r="W116" s="48"/>
      <c r="X116" s="48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spans="1:40" ht="12" customHeight="1">
      <c r="A117" s="13"/>
      <c r="B117" s="13"/>
      <c r="C117" s="13"/>
      <c r="D117" s="13"/>
      <c r="E117" s="13"/>
      <c r="F117" s="13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13"/>
      <c r="U117" s="13"/>
      <c r="V117" s="48"/>
      <c r="W117" s="48"/>
      <c r="X117" s="48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spans="1:40" ht="12" customHeight="1">
      <c r="A118" s="13"/>
      <c r="B118" s="13"/>
      <c r="C118" s="13"/>
      <c r="D118" s="13"/>
      <c r="E118" s="13"/>
      <c r="F118" s="13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13"/>
      <c r="U118" s="13"/>
      <c r="V118" s="48"/>
      <c r="W118" s="48"/>
      <c r="X118" s="48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spans="1:40" ht="12" customHeight="1">
      <c r="A119" s="13"/>
      <c r="B119" s="13"/>
      <c r="C119" s="13"/>
      <c r="D119" s="13"/>
      <c r="E119" s="13"/>
      <c r="F119" s="13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13"/>
      <c r="U119" s="13"/>
      <c r="V119" s="48"/>
      <c r="W119" s="48"/>
      <c r="X119" s="48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spans="1:40" ht="12" customHeight="1">
      <c r="A120" s="13"/>
      <c r="B120" s="13"/>
      <c r="C120" s="13"/>
      <c r="D120" s="13"/>
      <c r="E120" s="13"/>
      <c r="F120" s="13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13"/>
      <c r="U120" s="13"/>
      <c r="V120" s="48"/>
      <c r="W120" s="48"/>
      <c r="X120" s="48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</row>
    <row r="121" spans="1:40" ht="12" customHeight="1">
      <c r="A121" s="13"/>
      <c r="B121" s="13"/>
      <c r="C121" s="13"/>
      <c r="D121" s="13"/>
      <c r="E121" s="13"/>
      <c r="F121" s="13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13"/>
      <c r="U121" s="13"/>
      <c r="V121" s="48"/>
      <c r="W121" s="48"/>
      <c r="X121" s="48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spans="1:40" ht="12" customHeight="1">
      <c r="A122" s="13"/>
      <c r="B122" s="13"/>
      <c r="C122" s="13"/>
      <c r="D122" s="13"/>
      <c r="E122" s="13"/>
      <c r="F122" s="13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13"/>
      <c r="U122" s="13"/>
      <c r="V122" s="48"/>
      <c r="W122" s="48"/>
      <c r="X122" s="48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spans="1:40" ht="12" customHeight="1">
      <c r="A123" s="13"/>
      <c r="B123" s="13"/>
      <c r="C123" s="13"/>
      <c r="D123" s="13"/>
      <c r="E123" s="13"/>
      <c r="F123" s="13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13"/>
      <c r="U123" s="13"/>
      <c r="V123" s="48"/>
      <c r="W123" s="48"/>
      <c r="X123" s="48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</row>
    <row r="124" spans="1:40" ht="12" customHeight="1">
      <c r="A124" s="13"/>
      <c r="B124" s="13"/>
      <c r="C124" s="13"/>
      <c r="D124" s="13"/>
      <c r="E124" s="13"/>
      <c r="F124" s="13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13"/>
      <c r="U124" s="13"/>
      <c r="V124" s="48"/>
      <c r="W124" s="48"/>
      <c r="X124" s="48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spans="1:40" ht="12" customHeight="1">
      <c r="A125" s="13"/>
      <c r="B125" s="13"/>
      <c r="C125" s="13"/>
      <c r="D125" s="13"/>
      <c r="E125" s="13"/>
      <c r="F125" s="13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13"/>
      <c r="U125" s="13"/>
      <c r="V125" s="48"/>
      <c r="W125" s="48"/>
      <c r="X125" s="48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spans="1:40" ht="12" customHeight="1">
      <c r="A126" s="13"/>
      <c r="B126" s="13"/>
      <c r="C126" s="13"/>
      <c r="D126" s="13"/>
      <c r="E126" s="13"/>
      <c r="F126" s="13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13"/>
      <c r="U126" s="13"/>
      <c r="V126" s="48"/>
      <c r="W126" s="48"/>
      <c r="X126" s="48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spans="1:40" ht="12" customHeight="1">
      <c r="A127" s="13"/>
      <c r="B127" s="13"/>
      <c r="C127" s="13"/>
      <c r="D127" s="13"/>
      <c r="E127" s="13"/>
      <c r="F127" s="13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13"/>
      <c r="U127" s="13"/>
      <c r="V127" s="48"/>
      <c r="W127" s="48"/>
      <c r="X127" s="48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spans="1:40" ht="12" customHeight="1">
      <c r="A128" s="13"/>
      <c r="B128" s="13"/>
      <c r="C128" s="13"/>
      <c r="D128" s="13"/>
      <c r="E128" s="13"/>
      <c r="F128" s="13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13"/>
      <c r="U128" s="13"/>
      <c r="V128" s="48"/>
      <c r="W128" s="48"/>
      <c r="X128" s="48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spans="1:40" ht="12" customHeight="1">
      <c r="A129" s="13"/>
      <c r="B129" s="13"/>
      <c r="C129" s="13"/>
      <c r="D129" s="13"/>
      <c r="E129" s="13"/>
      <c r="F129" s="13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13"/>
      <c r="U129" s="13"/>
      <c r="V129" s="48"/>
      <c r="W129" s="48"/>
      <c r="X129" s="48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spans="1:40" ht="12" customHeight="1">
      <c r="A130" s="13"/>
      <c r="B130" s="13"/>
      <c r="C130" s="13"/>
      <c r="D130" s="13"/>
      <c r="E130" s="13"/>
      <c r="F130" s="13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13"/>
      <c r="U130" s="13"/>
      <c r="V130" s="48"/>
      <c r="W130" s="48"/>
      <c r="X130" s="48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spans="1:40" ht="12" customHeight="1">
      <c r="A131" s="13"/>
      <c r="B131" s="13"/>
      <c r="C131" s="13"/>
      <c r="D131" s="13"/>
      <c r="E131" s="13"/>
      <c r="F131" s="13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13"/>
      <c r="U131" s="13"/>
      <c r="V131" s="48"/>
      <c r="W131" s="48"/>
      <c r="X131" s="48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</row>
    <row r="132" spans="1:40" ht="12" customHeight="1">
      <c r="A132" s="13"/>
      <c r="B132" s="13"/>
      <c r="C132" s="13"/>
      <c r="D132" s="13"/>
      <c r="E132" s="13"/>
      <c r="F132" s="13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13"/>
      <c r="U132" s="13"/>
      <c r="V132" s="48"/>
      <c r="W132" s="48"/>
      <c r="X132" s="48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spans="1:40" ht="12" customHeight="1">
      <c r="A133" s="13"/>
      <c r="B133" s="13"/>
      <c r="C133" s="13"/>
      <c r="D133" s="13"/>
      <c r="E133" s="13"/>
      <c r="F133" s="13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13"/>
      <c r="U133" s="13"/>
      <c r="V133" s="48"/>
      <c r="W133" s="48"/>
      <c r="X133" s="48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</row>
    <row r="134" spans="1:40" ht="12" customHeight="1">
      <c r="A134" s="13"/>
      <c r="B134" s="13"/>
      <c r="C134" s="13"/>
      <c r="D134" s="13"/>
      <c r="E134" s="13"/>
      <c r="F134" s="13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13"/>
      <c r="U134" s="13"/>
      <c r="V134" s="48"/>
      <c r="W134" s="48"/>
      <c r="X134" s="48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spans="1:40" ht="12" customHeight="1">
      <c r="A135" s="13"/>
      <c r="B135" s="13"/>
      <c r="C135" s="13"/>
      <c r="D135" s="13"/>
      <c r="E135" s="13"/>
      <c r="F135" s="13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13"/>
      <c r="U135" s="13"/>
      <c r="V135" s="48"/>
      <c r="W135" s="48"/>
      <c r="X135" s="48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spans="1:40" ht="12" customHeight="1">
      <c r="A136" s="13"/>
      <c r="B136" s="13"/>
      <c r="C136" s="13"/>
      <c r="D136" s="13"/>
      <c r="E136" s="13"/>
      <c r="F136" s="13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13"/>
      <c r="U136" s="13"/>
      <c r="V136" s="48"/>
      <c r="W136" s="48"/>
      <c r="X136" s="48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</row>
  </sheetData>
  <sheetProtection insertRows="0" selectLockedCells="1"/>
  <mergeCells count="351">
    <mergeCell ref="AI72:AN72"/>
    <mergeCell ref="M86:AE87"/>
    <mergeCell ref="G30:AN30"/>
    <mergeCell ref="C74:AH74"/>
    <mergeCell ref="C68:AH68"/>
    <mergeCell ref="AI68:AN68"/>
    <mergeCell ref="C63:AH63"/>
    <mergeCell ref="AI63:AN63"/>
    <mergeCell ref="C57:AH57"/>
    <mergeCell ref="AI57:AN57"/>
    <mergeCell ref="E61:F61"/>
    <mergeCell ref="C62:D62"/>
    <mergeCell ref="G65:S65"/>
    <mergeCell ref="M85:AE85"/>
    <mergeCell ref="C61:D61"/>
    <mergeCell ref="E62:F62"/>
    <mergeCell ref="E65:F65"/>
    <mergeCell ref="G66:S66"/>
    <mergeCell ref="C69:F69"/>
    <mergeCell ref="T61:U61"/>
    <mergeCell ref="AI60:AN60"/>
    <mergeCell ref="Y65:AA65"/>
    <mergeCell ref="AI65:AN65"/>
    <mergeCell ref="AB42:AE42"/>
    <mergeCell ref="AF42:AH42"/>
    <mergeCell ref="AB43:AE43"/>
    <mergeCell ref="AB61:AE61"/>
    <mergeCell ref="Y50:AA50"/>
    <mergeCell ref="G64:AN64"/>
    <mergeCell ref="T56:U56"/>
    <mergeCell ref="G55:AN55"/>
    <mergeCell ref="G52:AN52"/>
    <mergeCell ref="G41:AN41"/>
    <mergeCell ref="C40:AH40"/>
    <mergeCell ref="C60:D60"/>
    <mergeCell ref="C44:D44"/>
    <mergeCell ref="E59:F59"/>
    <mergeCell ref="AI51:AN51"/>
    <mergeCell ref="AF43:AH43"/>
    <mergeCell ref="AF44:AH44"/>
    <mergeCell ref="C30:F30"/>
    <mergeCell ref="C35:F35"/>
    <mergeCell ref="G36:S36"/>
    <mergeCell ref="E33:F33"/>
    <mergeCell ref="G33:S33"/>
    <mergeCell ref="Y33:AA33"/>
    <mergeCell ref="E31:F31"/>
    <mergeCell ref="G35:AN35"/>
    <mergeCell ref="Y31:AA31"/>
    <mergeCell ref="G31:S31"/>
    <mergeCell ref="AI37:AN37"/>
    <mergeCell ref="AF37:AH37"/>
    <mergeCell ref="AB37:AE37"/>
    <mergeCell ref="T33:U33"/>
    <mergeCell ref="V33:X33"/>
    <mergeCell ref="AB31:AE31"/>
    <mergeCell ref="C34:AH34"/>
    <mergeCell ref="AF31:AH31"/>
    <mergeCell ref="AI31:AN31"/>
    <mergeCell ref="T37:U37"/>
    <mergeCell ref="AB44:AE44"/>
    <mergeCell ref="AI44:AN44"/>
    <mergeCell ref="AI40:AN40"/>
    <mergeCell ref="AI34:AN34"/>
    <mergeCell ref="AF33:AH33"/>
    <mergeCell ref="AI33:AN33"/>
    <mergeCell ref="AF36:AH36"/>
    <mergeCell ref="AI36:AN36"/>
    <mergeCell ref="AI42:AN42"/>
    <mergeCell ref="AB38:AE38"/>
    <mergeCell ref="G45:S45"/>
    <mergeCell ref="G46:S46"/>
    <mergeCell ref="G47:S47"/>
    <mergeCell ref="G48:S48"/>
    <mergeCell ref="G49:S49"/>
    <mergeCell ref="T46:U46"/>
    <mergeCell ref="T49:U49"/>
    <mergeCell ref="T45:U45"/>
    <mergeCell ref="G42:S42"/>
    <mergeCell ref="G43:S43"/>
    <mergeCell ref="G44:S44"/>
    <mergeCell ref="E60:F60"/>
    <mergeCell ref="C47:D47"/>
    <mergeCell ref="C58:F58"/>
    <mergeCell ref="C51:AH51"/>
    <mergeCell ref="C56:D56"/>
    <mergeCell ref="E56:F56"/>
    <mergeCell ref="T48:U48"/>
    <mergeCell ref="T59:U59"/>
    <mergeCell ref="T62:U62"/>
    <mergeCell ref="T60:U60"/>
    <mergeCell ref="G62:S62"/>
    <mergeCell ref="Y61:AA61"/>
    <mergeCell ref="T65:U65"/>
    <mergeCell ref="G59:S59"/>
    <mergeCell ref="G60:S60"/>
    <mergeCell ref="G61:S61"/>
    <mergeCell ref="Y62:AA62"/>
    <mergeCell ref="T50:U50"/>
    <mergeCell ref="V65:X65"/>
    <mergeCell ref="V42:X42"/>
    <mergeCell ref="Y43:AA43"/>
    <mergeCell ref="V44:X44"/>
    <mergeCell ref="Y47:AA47"/>
    <mergeCell ref="T44:U44"/>
    <mergeCell ref="T43:U43"/>
    <mergeCell ref="V46:X46"/>
    <mergeCell ref="Y49:AA49"/>
    <mergeCell ref="G50:S50"/>
    <mergeCell ref="C64:F64"/>
    <mergeCell ref="G58:AN58"/>
    <mergeCell ref="AB60:AE60"/>
    <mergeCell ref="C53:D53"/>
    <mergeCell ref="C59:D59"/>
    <mergeCell ref="V56:X56"/>
    <mergeCell ref="G56:S56"/>
    <mergeCell ref="C55:F55"/>
    <mergeCell ref="C52:F52"/>
    <mergeCell ref="T70:U70"/>
    <mergeCell ref="AF70:AH70"/>
    <mergeCell ref="AI70:AN70"/>
    <mergeCell ref="AF71:AH71"/>
    <mergeCell ref="AB73:AE73"/>
    <mergeCell ref="AI74:AN74"/>
    <mergeCell ref="AF73:AH73"/>
    <mergeCell ref="AB72:AE72"/>
    <mergeCell ref="Y73:AA73"/>
    <mergeCell ref="AI73:AN73"/>
    <mergeCell ref="T71:U71"/>
    <mergeCell ref="AB71:AE71"/>
    <mergeCell ref="AF75:AH75"/>
    <mergeCell ref="G71:S71"/>
    <mergeCell ref="G72:S72"/>
    <mergeCell ref="AB75:AE75"/>
    <mergeCell ref="G73:S73"/>
    <mergeCell ref="Y72:AA72"/>
    <mergeCell ref="V71:X71"/>
    <mergeCell ref="T72:U72"/>
    <mergeCell ref="C65:D65"/>
    <mergeCell ref="C70:D70"/>
    <mergeCell ref="E71:F71"/>
    <mergeCell ref="G67:S67"/>
    <mergeCell ref="G70:S70"/>
    <mergeCell ref="E67:F67"/>
    <mergeCell ref="C66:D66"/>
    <mergeCell ref="C67:D67"/>
    <mergeCell ref="E70:F70"/>
    <mergeCell ref="G69:AN69"/>
    <mergeCell ref="M92:AE92"/>
    <mergeCell ref="B81:AN81"/>
    <mergeCell ref="C71:D71"/>
    <mergeCell ref="E73:F73"/>
    <mergeCell ref="E72:F72"/>
    <mergeCell ref="F77:AM80"/>
    <mergeCell ref="Y75:AA75"/>
    <mergeCell ref="C72:D72"/>
    <mergeCell ref="T73:U73"/>
    <mergeCell ref="V72:X72"/>
    <mergeCell ref="B27:B29"/>
    <mergeCell ref="E28:F28"/>
    <mergeCell ref="C42:D42"/>
    <mergeCell ref="C43:D43"/>
    <mergeCell ref="E32:F32"/>
    <mergeCell ref="C32:D32"/>
    <mergeCell ref="C36:D36"/>
    <mergeCell ref="C39:D39"/>
    <mergeCell ref="E37:F37"/>
    <mergeCell ref="C38:D38"/>
    <mergeCell ref="E49:F49"/>
    <mergeCell ref="C33:D33"/>
    <mergeCell ref="E50:F50"/>
    <mergeCell ref="E44:F44"/>
    <mergeCell ref="C49:D49"/>
    <mergeCell ref="C50:D50"/>
    <mergeCell ref="C48:D48"/>
    <mergeCell ref="E39:F39"/>
    <mergeCell ref="E48:F48"/>
    <mergeCell ref="E46:F46"/>
    <mergeCell ref="E45:F45"/>
    <mergeCell ref="C46:D46"/>
    <mergeCell ref="E43:F43"/>
    <mergeCell ref="E42:F42"/>
    <mergeCell ref="C41:F41"/>
    <mergeCell ref="E47:F47"/>
    <mergeCell ref="C45:D45"/>
    <mergeCell ref="Y32:AA32"/>
    <mergeCell ref="AB33:AE33"/>
    <mergeCell ref="V36:X36"/>
    <mergeCell ref="E36:F36"/>
    <mergeCell ref="E38:F38"/>
    <mergeCell ref="G37:S37"/>
    <mergeCell ref="G38:S38"/>
    <mergeCell ref="T38:U38"/>
    <mergeCell ref="T36:U36"/>
    <mergeCell ref="G32:S32"/>
    <mergeCell ref="C37:D37"/>
    <mergeCell ref="AB32:AE32"/>
    <mergeCell ref="Y36:AA36"/>
    <mergeCell ref="AB36:AE36"/>
    <mergeCell ref="Y38:AA38"/>
    <mergeCell ref="T39:U39"/>
    <mergeCell ref="G39:S39"/>
    <mergeCell ref="Y37:AA37"/>
    <mergeCell ref="T32:U32"/>
    <mergeCell ref="V38:X38"/>
    <mergeCell ref="T42:U42"/>
    <mergeCell ref="V39:X39"/>
    <mergeCell ref="Y39:AA39"/>
    <mergeCell ref="Y42:AA42"/>
    <mergeCell ref="G27:S29"/>
    <mergeCell ref="W24:X24"/>
    <mergeCell ref="V32:X32"/>
    <mergeCell ref="V37:X37"/>
    <mergeCell ref="T31:U31"/>
    <mergeCell ref="V31:X31"/>
    <mergeCell ref="O24:P24"/>
    <mergeCell ref="T27:U29"/>
    <mergeCell ref="V27:X29"/>
    <mergeCell ref="W23:X23"/>
    <mergeCell ref="O22:P22"/>
    <mergeCell ref="L22:M22"/>
    <mergeCell ref="L25:M25"/>
    <mergeCell ref="L23:M23"/>
    <mergeCell ref="O23:P23"/>
    <mergeCell ref="Y20:AN25"/>
    <mergeCell ref="Q18:X19"/>
    <mergeCell ref="K18:P19"/>
    <mergeCell ref="L21:M21"/>
    <mergeCell ref="O21:P21"/>
    <mergeCell ref="W25:X25"/>
    <mergeCell ref="O25:P25"/>
    <mergeCell ref="L20:M20"/>
    <mergeCell ref="O20:P20"/>
    <mergeCell ref="L24:M24"/>
    <mergeCell ref="AI32:AN32"/>
    <mergeCell ref="N2:AF3"/>
    <mergeCell ref="AE5:AN5"/>
    <mergeCell ref="AJ18:AN19"/>
    <mergeCell ref="W20:X20"/>
    <mergeCell ref="W21:X21"/>
    <mergeCell ref="W22:X22"/>
    <mergeCell ref="B14:W14"/>
    <mergeCell ref="B5:Y5"/>
    <mergeCell ref="Y18:AI19"/>
    <mergeCell ref="B11:W11"/>
    <mergeCell ref="X11:AL11"/>
    <mergeCell ref="AF32:AH32"/>
    <mergeCell ref="Y27:AN27"/>
    <mergeCell ref="Y29:AA29"/>
    <mergeCell ref="AB29:AE29"/>
    <mergeCell ref="Y28:AE28"/>
    <mergeCell ref="AF28:AN28"/>
    <mergeCell ref="AF29:AH29"/>
    <mergeCell ref="AI29:AN29"/>
    <mergeCell ref="AF38:AH38"/>
    <mergeCell ref="V43:X43"/>
    <mergeCell ref="AE8:AN8"/>
    <mergeCell ref="X14:AF14"/>
    <mergeCell ref="AG14:AN14"/>
    <mergeCell ref="AM11:AN11"/>
    <mergeCell ref="B8:AD8"/>
    <mergeCell ref="AI43:AN43"/>
    <mergeCell ref="AI38:AN38"/>
    <mergeCell ref="AB39:AE39"/>
    <mergeCell ref="Y45:AA45"/>
    <mergeCell ref="V47:X47"/>
    <mergeCell ref="AB59:AE59"/>
    <mergeCell ref="AB50:AE50"/>
    <mergeCell ref="Y44:AA44"/>
    <mergeCell ref="Y56:AA56"/>
    <mergeCell ref="V45:X45"/>
    <mergeCell ref="V48:X48"/>
    <mergeCell ref="V50:X50"/>
    <mergeCell ref="V53:X53"/>
    <mergeCell ref="Y53:AA53"/>
    <mergeCell ref="Y46:AA46"/>
    <mergeCell ref="C54:AH54"/>
    <mergeCell ref="T53:U53"/>
    <mergeCell ref="AB48:AE48"/>
    <mergeCell ref="AB49:AE49"/>
    <mergeCell ref="V49:X49"/>
    <mergeCell ref="E53:F53"/>
    <mergeCell ref="G53:S53"/>
    <mergeCell ref="T47:U47"/>
    <mergeCell ref="Y48:AA48"/>
    <mergeCell ref="AI48:AN48"/>
    <mergeCell ref="AI50:AN50"/>
    <mergeCell ref="AF53:AH53"/>
    <mergeCell ref="AF39:AH39"/>
    <mergeCell ref="AI39:AN39"/>
    <mergeCell ref="AI49:AN49"/>
    <mergeCell ref="AF48:AH48"/>
    <mergeCell ref="AF49:AH49"/>
    <mergeCell ref="AF50:AH50"/>
    <mergeCell ref="AB47:AE47"/>
    <mergeCell ref="AF47:AH47"/>
    <mergeCell ref="AI47:AN47"/>
    <mergeCell ref="AI46:AN46"/>
    <mergeCell ref="AB46:AE46"/>
    <mergeCell ref="AI45:AN45"/>
    <mergeCell ref="AB45:AE45"/>
    <mergeCell ref="AF45:AH45"/>
    <mergeCell ref="AF46:AH46"/>
    <mergeCell ref="AI62:AN62"/>
    <mergeCell ref="AB62:AE62"/>
    <mergeCell ref="AF62:AH62"/>
    <mergeCell ref="AI54:AN54"/>
    <mergeCell ref="AI53:AN53"/>
    <mergeCell ref="AF59:AH59"/>
    <mergeCell ref="AB53:AE53"/>
    <mergeCell ref="AI59:AN59"/>
    <mergeCell ref="AF61:AH61"/>
    <mergeCell ref="AF60:AH60"/>
    <mergeCell ref="AF66:AH66"/>
    <mergeCell ref="AB65:AE65"/>
    <mergeCell ref="AF67:AH67"/>
    <mergeCell ref="AI67:AN67"/>
    <mergeCell ref="Y71:AA71"/>
    <mergeCell ref="Y66:AA66"/>
    <mergeCell ref="AI66:AN66"/>
    <mergeCell ref="AB67:AE67"/>
    <mergeCell ref="AI71:AN71"/>
    <mergeCell ref="AF65:AH65"/>
    <mergeCell ref="AB70:AE70"/>
    <mergeCell ref="V59:X59"/>
    <mergeCell ref="Y67:AA67"/>
    <mergeCell ref="V62:X62"/>
    <mergeCell ref="Y59:AA59"/>
    <mergeCell ref="Y60:AA60"/>
    <mergeCell ref="AB66:AE66"/>
    <mergeCell ref="V60:X60"/>
    <mergeCell ref="B96:AN96"/>
    <mergeCell ref="M93:AE94"/>
    <mergeCell ref="V73:X73"/>
    <mergeCell ref="C73:D73"/>
    <mergeCell ref="AI75:AN75"/>
    <mergeCell ref="V66:X66"/>
    <mergeCell ref="V67:X67"/>
    <mergeCell ref="AF72:AH72"/>
    <mergeCell ref="V70:X70"/>
    <mergeCell ref="Y70:AA70"/>
    <mergeCell ref="C31:D31"/>
    <mergeCell ref="T66:U66"/>
    <mergeCell ref="T67:U67"/>
    <mergeCell ref="E66:F66"/>
    <mergeCell ref="B26:AN26"/>
    <mergeCell ref="AI56:AN56"/>
    <mergeCell ref="AF56:AH56"/>
    <mergeCell ref="AB56:AE56"/>
    <mergeCell ref="AI61:AN61"/>
    <mergeCell ref="V61:X61"/>
  </mergeCells>
  <printOptions horizontalCentered="1"/>
  <pageMargins left="0.3937007874015748" right="0.07874015748031496" top="0.3937007874015748" bottom="0.1968503937007874" header="0.1968503937007874" footer="0.07874015748031496"/>
  <pageSetup fitToWidth="0" horizontalDpi="300" verticalDpi="300" orientation="portrait" paperSize="9" scale="50" r:id="rId4"/>
  <headerFooter alignWithMargins="0">
    <oddFooter>&amp;L&amp;8&amp;P / &amp;N&amp;R&amp;8&amp;F  / &amp;A</oddFooter>
  </headerFooter>
  <rowBreaks count="1" manualBreakCount="1">
    <brk id="68" min="1" max="39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130" zoomScaleSheetLayoutView="130" zoomScalePageLayoutView="0" workbookViewId="0" topLeftCell="A1">
      <selection activeCell="C14" sqref="C14"/>
    </sheetView>
  </sheetViews>
  <sheetFormatPr defaultColWidth="9.140625" defaultRowHeight="12.75"/>
  <cols>
    <col min="1" max="1" width="84.00390625" style="0" customWidth="1"/>
  </cols>
  <sheetData>
    <row r="1" spans="1:2" ht="13.5" thickBot="1">
      <c r="A1" s="876" t="s">
        <v>217</v>
      </c>
      <c r="B1" s="877"/>
    </row>
    <row r="2" spans="1:2" ht="12.75">
      <c r="A2" s="171" t="s">
        <v>218</v>
      </c>
      <c r="B2" s="172">
        <v>530</v>
      </c>
    </row>
    <row r="3" spans="1:2" ht="12.75">
      <c r="A3" s="173" t="s">
        <v>219</v>
      </c>
      <c r="B3" s="174">
        <v>530</v>
      </c>
    </row>
    <row r="4" spans="1:2" ht="12.75">
      <c r="A4" s="173" t="s">
        <v>220</v>
      </c>
      <c r="B4" s="174">
        <f>420</f>
        <v>420</v>
      </c>
    </row>
    <row r="5" spans="1:2" ht="12.75">
      <c r="A5" s="173" t="s">
        <v>221</v>
      </c>
      <c r="B5" s="175">
        <v>10</v>
      </c>
    </row>
    <row r="6" spans="1:2" ht="12.75">
      <c r="A6" s="173" t="s">
        <v>222</v>
      </c>
      <c r="B6" s="174">
        <v>10</v>
      </c>
    </row>
    <row r="7" spans="1:2" ht="12.75">
      <c r="A7" s="173" t="s">
        <v>258</v>
      </c>
      <c r="B7" s="174">
        <v>110</v>
      </c>
    </row>
    <row r="8" spans="1:2" ht="12.75">
      <c r="A8" s="173" t="s">
        <v>223</v>
      </c>
      <c r="B8" s="174">
        <v>12</v>
      </c>
    </row>
    <row r="9" spans="1:2" ht="12.75">
      <c r="A9" s="176" t="s">
        <v>224</v>
      </c>
      <c r="B9" s="174">
        <v>0</v>
      </c>
    </row>
    <row r="10" spans="1:2" ht="13.5" thickBot="1">
      <c r="A10" s="177" t="s">
        <v>225</v>
      </c>
      <c r="B10" s="178" t="s">
        <v>226</v>
      </c>
    </row>
  </sheetData>
  <sheetProtection/>
  <mergeCells count="1">
    <mergeCell ref="A1:B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7.7109375" style="219" customWidth="1"/>
    <col min="2" max="2" width="71.28125" style="219" customWidth="1"/>
    <col min="3" max="3" width="12.57421875" style="219" customWidth="1"/>
    <col min="4" max="4" width="8.140625" style="219" customWidth="1"/>
    <col min="5" max="5" width="12.421875" style="219" bestFit="1" customWidth="1"/>
    <col min="6" max="6" width="10.00390625" style="219" customWidth="1"/>
    <col min="7" max="7" width="12.7109375" style="219" customWidth="1"/>
    <col min="8" max="8" width="14.140625" style="219" customWidth="1"/>
    <col min="9" max="9" width="15.140625" style="219" customWidth="1"/>
    <col min="10" max="10" width="5.57421875" style="211" customWidth="1"/>
    <col min="11" max="16384" width="9.140625" style="219" customWidth="1"/>
  </cols>
  <sheetData>
    <row r="1" spans="1:9" ht="91.5" customHeight="1">
      <c r="A1" s="592" t="s">
        <v>375</v>
      </c>
      <c r="B1" s="593"/>
      <c r="C1" s="593"/>
      <c r="D1" s="593"/>
      <c r="E1" s="593"/>
      <c r="F1" s="593"/>
      <c r="G1" s="593"/>
      <c r="H1" s="594"/>
      <c r="I1" s="595"/>
    </row>
    <row r="2" spans="1:9" ht="26.25" customHeight="1">
      <c r="A2" s="558" t="s">
        <v>368</v>
      </c>
      <c r="B2" s="559"/>
      <c r="C2" s="559"/>
      <c r="D2" s="559"/>
      <c r="E2" s="559"/>
      <c r="F2" s="559"/>
      <c r="G2" s="559"/>
      <c r="H2" s="559"/>
      <c r="I2" s="560"/>
    </row>
    <row r="3" spans="1:9" ht="14.25">
      <c r="A3" s="577" t="s">
        <v>432</v>
      </c>
      <c r="B3" s="578"/>
      <c r="C3" s="578"/>
      <c r="D3" s="596">
        <v>43862</v>
      </c>
      <c r="E3" s="597"/>
      <c r="F3" s="597"/>
      <c r="G3" s="597"/>
      <c r="H3" s="597"/>
      <c r="I3" s="598"/>
    </row>
    <row r="4" spans="1:9" ht="14.25">
      <c r="A4" s="577" t="s">
        <v>456</v>
      </c>
      <c r="B4" s="578"/>
      <c r="C4" s="578"/>
      <c r="D4" s="578"/>
      <c r="E4" s="578"/>
      <c r="F4" s="578"/>
      <c r="G4" s="578"/>
      <c r="H4" s="578"/>
      <c r="I4" s="599"/>
    </row>
    <row r="5" spans="1:9" ht="14.25">
      <c r="A5" s="577" t="s">
        <v>422</v>
      </c>
      <c r="B5" s="578"/>
      <c r="C5" s="578"/>
      <c r="D5" s="579" t="s">
        <v>309</v>
      </c>
      <c r="E5" s="580"/>
      <c r="F5" s="581"/>
      <c r="G5" s="582">
        <v>26.85</v>
      </c>
      <c r="H5" s="583"/>
      <c r="I5" s="584"/>
    </row>
    <row r="6" spans="1:9" ht="14.25">
      <c r="A6" s="577" t="s">
        <v>438</v>
      </c>
      <c r="B6" s="578"/>
      <c r="C6" s="578"/>
      <c r="D6" s="579" t="s">
        <v>310</v>
      </c>
      <c r="E6" s="580"/>
      <c r="F6" s="581"/>
      <c r="G6" s="582"/>
      <c r="H6" s="583"/>
      <c r="I6" s="584"/>
    </row>
    <row r="7" spans="1:9" ht="15" customHeight="1">
      <c r="A7" s="573" t="s">
        <v>3</v>
      </c>
      <c r="B7" s="575" t="s">
        <v>179</v>
      </c>
      <c r="C7" s="575" t="s">
        <v>399</v>
      </c>
      <c r="D7" s="588" t="s">
        <v>152</v>
      </c>
      <c r="E7" s="575" t="s">
        <v>181</v>
      </c>
      <c r="F7" s="590" t="s">
        <v>311</v>
      </c>
      <c r="G7" s="591"/>
      <c r="H7" s="569" t="s">
        <v>312</v>
      </c>
      <c r="I7" s="570"/>
    </row>
    <row r="8" spans="1:9" ht="22.5" customHeight="1">
      <c r="A8" s="574"/>
      <c r="B8" s="576"/>
      <c r="C8" s="576"/>
      <c r="D8" s="589"/>
      <c r="E8" s="576"/>
      <c r="F8" s="220" t="s">
        <v>313</v>
      </c>
      <c r="G8" s="220" t="s">
        <v>314</v>
      </c>
      <c r="H8" s="220" t="s">
        <v>313</v>
      </c>
      <c r="I8" s="321" t="s">
        <v>314</v>
      </c>
    </row>
    <row r="9" spans="1:9" ht="14.25">
      <c r="A9" s="322">
        <v>1</v>
      </c>
      <c r="B9" s="221" t="s">
        <v>102</v>
      </c>
      <c r="C9" s="221"/>
      <c r="D9" s="221"/>
      <c r="E9" s="222"/>
      <c r="F9" s="222"/>
      <c r="G9" s="222"/>
      <c r="H9" s="222">
        <f>SUM(H10:H11)</f>
        <v>5014.3</v>
      </c>
      <c r="I9" s="323">
        <f>SUM(I10:I13)</f>
        <v>6694.860000000001</v>
      </c>
    </row>
    <row r="10" spans="1:9" ht="72">
      <c r="A10" s="324" t="s">
        <v>99</v>
      </c>
      <c r="B10" s="227" t="s">
        <v>400</v>
      </c>
      <c r="C10" s="223" t="s">
        <v>410</v>
      </c>
      <c r="D10" s="223" t="s">
        <v>401</v>
      </c>
      <c r="E10" s="224">
        <v>1</v>
      </c>
      <c r="F10" s="224">
        <v>1085.45</v>
      </c>
      <c r="G10" s="226">
        <f>ROUND(($G$5/100+1)*F10,2)</f>
        <v>1376.89</v>
      </c>
      <c r="H10" s="225">
        <f>ROUND(E10*F10,2)</f>
        <v>1085.45</v>
      </c>
      <c r="I10" s="325">
        <f>ROUND(E10*G10,2)</f>
        <v>1376.89</v>
      </c>
    </row>
    <row r="11" spans="1:9" ht="14.25">
      <c r="A11" s="324" t="s">
        <v>100</v>
      </c>
      <c r="B11" s="227" t="s">
        <v>431</v>
      </c>
      <c r="C11" s="228" t="s">
        <v>430</v>
      </c>
      <c r="D11" s="223" t="s">
        <v>401</v>
      </c>
      <c r="E11" s="224">
        <f>'MEMORIA DE CÁLCULO'!H28</f>
        <v>53.092499999999994</v>
      </c>
      <c r="F11" s="224">
        <v>74</v>
      </c>
      <c r="G11" s="226">
        <f>ROUND(($G$5/100+1)*F11,2)</f>
        <v>93.87</v>
      </c>
      <c r="H11" s="225">
        <f>ROUND(E11*F11,2)</f>
        <v>3928.85</v>
      </c>
      <c r="I11" s="325">
        <f>ROUND(E11*G11,2)</f>
        <v>4983.79</v>
      </c>
    </row>
    <row r="12" spans="1:9" ht="24">
      <c r="A12" s="324" t="s">
        <v>101</v>
      </c>
      <c r="B12" s="227" t="s">
        <v>446</v>
      </c>
      <c r="C12" s="223" t="s">
        <v>449</v>
      </c>
      <c r="D12" s="223" t="s">
        <v>151</v>
      </c>
      <c r="E12" s="224">
        <f>'MEMORIA DE CÁLCULO'!H34</f>
        <v>17.7</v>
      </c>
      <c r="F12" s="224">
        <v>7.39</v>
      </c>
      <c r="G12" s="226">
        <f>ROUND(($G$5/100+1)*F12,2)</f>
        <v>9.37</v>
      </c>
      <c r="H12" s="225">
        <f>ROUND(E12*F12,2)</f>
        <v>130.8</v>
      </c>
      <c r="I12" s="325">
        <f>ROUND(E12*G12,2)</f>
        <v>165.85</v>
      </c>
    </row>
    <row r="13" spans="1:9" ht="24">
      <c r="A13" s="324" t="s">
        <v>450</v>
      </c>
      <c r="B13" s="227" t="s">
        <v>448</v>
      </c>
      <c r="C13" s="228" t="s">
        <v>451</v>
      </c>
      <c r="D13" s="223" t="s">
        <v>154</v>
      </c>
      <c r="E13" s="224">
        <f>'MEMORIA DE CÁLCULO'!H40</f>
        <v>6.41</v>
      </c>
      <c r="F13" s="224">
        <v>20.7</v>
      </c>
      <c r="G13" s="226">
        <f>ROUND(($G$5/100+1)*F13,2)</f>
        <v>26.26</v>
      </c>
      <c r="H13" s="225">
        <f>ROUND(E13*F13,2)</f>
        <v>132.69</v>
      </c>
      <c r="I13" s="325">
        <f>ROUND(E13*G13,2)</f>
        <v>168.33</v>
      </c>
    </row>
    <row r="14" spans="1:9" ht="14.25">
      <c r="A14" s="585" t="s">
        <v>360</v>
      </c>
      <c r="B14" s="586"/>
      <c r="C14" s="586"/>
      <c r="D14" s="586"/>
      <c r="E14" s="586"/>
      <c r="F14" s="586"/>
      <c r="G14" s="586"/>
      <c r="H14" s="586"/>
      <c r="I14" s="587"/>
    </row>
    <row r="15" spans="1:9" ht="14.25">
      <c r="A15" s="322">
        <v>2</v>
      </c>
      <c r="B15" s="229" t="s">
        <v>98</v>
      </c>
      <c r="C15" s="230"/>
      <c r="D15" s="230"/>
      <c r="E15" s="231"/>
      <c r="F15" s="231"/>
      <c r="G15" s="231"/>
      <c r="H15" s="232">
        <f>SUM(H16:H19)</f>
        <v>8921.76</v>
      </c>
      <c r="I15" s="326">
        <f>SUM(I16:I19)</f>
        <v>11298.349999999999</v>
      </c>
    </row>
    <row r="16" spans="1:9" ht="25.5" customHeight="1">
      <c r="A16" s="324" t="s">
        <v>262</v>
      </c>
      <c r="B16" s="227" t="s">
        <v>402</v>
      </c>
      <c r="C16" s="223" t="s">
        <v>411</v>
      </c>
      <c r="D16" s="223" t="s">
        <v>153</v>
      </c>
      <c r="E16" s="224">
        <f>'MEMORIA DE CÁLCULO'!H50</f>
        <v>347.8089</v>
      </c>
      <c r="F16" s="224">
        <v>2.78</v>
      </c>
      <c r="G16" s="226">
        <f>ROUND(($G$5/100+1)*F16,2)</f>
        <v>3.53</v>
      </c>
      <c r="H16" s="225">
        <f>ROUND(E16*F16,2)</f>
        <v>966.91</v>
      </c>
      <c r="I16" s="325">
        <f>ROUND(E16*G16,2)</f>
        <v>1227.77</v>
      </c>
    </row>
    <row r="17" spans="1:9" ht="15" customHeight="1">
      <c r="A17" s="324" t="s">
        <v>263</v>
      </c>
      <c r="B17" s="227" t="s">
        <v>403</v>
      </c>
      <c r="C17" s="223" t="s">
        <v>412</v>
      </c>
      <c r="D17" s="223" t="s">
        <v>154</v>
      </c>
      <c r="E17" s="224">
        <f>'MEMORIA DE CÁLCULO'!H58</f>
        <v>2318.726</v>
      </c>
      <c r="F17" s="224">
        <v>0.8</v>
      </c>
      <c r="G17" s="226">
        <f>ROUND(($G$5/100+1)*F17,2)</f>
        <v>1.01</v>
      </c>
      <c r="H17" s="225">
        <f>ROUND(E17*F17,2)</f>
        <v>1854.98</v>
      </c>
      <c r="I17" s="325">
        <f>ROUND(E17*G17,2)</f>
        <v>2341.91</v>
      </c>
    </row>
    <row r="18" spans="1:9" ht="27" customHeight="1">
      <c r="A18" s="324" t="s">
        <v>264</v>
      </c>
      <c r="B18" s="227" t="s">
        <v>414</v>
      </c>
      <c r="C18" s="223" t="s">
        <v>413</v>
      </c>
      <c r="D18" s="223" t="s">
        <v>406</v>
      </c>
      <c r="E18" s="224">
        <f>'MEMORIA DE CÁLCULO'!H65</f>
        <v>1078.20759</v>
      </c>
      <c r="F18" s="224">
        <v>0.78</v>
      </c>
      <c r="G18" s="226">
        <f>ROUND(($G$5/100+1)*F18,2)</f>
        <v>0.99</v>
      </c>
      <c r="H18" s="225">
        <f>ROUND(E18*F18,2)</f>
        <v>841</v>
      </c>
      <c r="I18" s="325">
        <f>ROUND(E18*G18,2)</f>
        <v>1067.43</v>
      </c>
    </row>
    <row r="19" spans="1:9" ht="26.25" customHeight="1">
      <c r="A19" s="324" t="s">
        <v>265</v>
      </c>
      <c r="B19" s="227" t="s">
        <v>416</v>
      </c>
      <c r="C19" s="223" t="s">
        <v>415</v>
      </c>
      <c r="D19" s="223" t="s">
        <v>307</v>
      </c>
      <c r="E19" s="224">
        <f>'MEMORIA DE CÁLCULO'!H73</f>
        <v>5843.18952</v>
      </c>
      <c r="F19" s="224">
        <v>0.9</v>
      </c>
      <c r="G19" s="226">
        <f>ROUND(($G$5/100+1)*F19,2)</f>
        <v>1.14</v>
      </c>
      <c r="H19" s="225">
        <f>ROUND(E19*F19,2)</f>
        <v>5258.87</v>
      </c>
      <c r="I19" s="325">
        <f>ROUND(E19*G19,2)</f>
        <v>6661.24</v>
      </c>
    </row>
    <row r="20" spans="1:9" ht="16.5" customHeight="1">
      <c r="A20" s="322">
        <v>3</v>
      </c>
      <c r="B20" s="229" t="s">
        <v>376</v>
      </c>
      <c r="C20" s="230"/>
      <c r="D20" s="230"/>
      <c r="E20" s="231"/>
      <c r="F20" s="231"/>
      <c r="G20" s="231"/>
      <c r="H20" s="232">
        <f>SUM(H21:H22)</f>
        <v>94644.09000000001</v>
      </c>
      <c r="I20" s="326">
        <f>SUM(I21:I22)</f>
        <v>120050.27</v>
      </c>
    </row>
    <row r="21" spans="1:9" ht="47.25" customHeight="1">
      <c r="A21" s="324" t="s">
        <v>266</v>
      </c>
      <c r="B21" s="402" t="s">
        <v>418</v>
      </c>
      <c r="C21" s="223" t="s">
        <v>417</v>
      </c>
      <c r="D21" s="223" t="s">
        <v>153</v>
      </c>
      <c r="E21" s="224">
        <f>'MEMORIA DE CÁLCULO'!H82</f>
        <v>300.0256499999999</v>
      </c>
      <c r="F21" s="224">
        <v>13.72</v>
      </c>
      <c r="G21" s="226">
        <f>ROUND(($G$5/100+1)*F21,2)</f>
        <v>17.4</v>
      </c>
      <c r="H21" s="225">
        <f>ROUND(E21*F21,2)</f>
        <v>4116.35</v>
      </c>
      <c r="I21" s="325">
        <f>ROUND(E21*G21,2)</f>
        <v>5220.45</v>
      </c>
    </row>
    <row r="22" spans="1:9" ht="37.5" customHeight="1">
      <c r="A22" s="324" t="s">
        <v>267</v>
      </c>
      <c r="B22" s="233" t="s">
        <v>404</v>
      </c>
      <c r="C22" s="223" t="s">
        <v>419</v>
      </c>
      <c r="D22" s="223" t="s">
        <v>154</v>
      </c>
      <c r="E22" s="224">
        <f>'MEMORIA DE CÁLCULO'!H90</f>
        <v>2000.1709999999998</v>
      </c>
      <c r="F22" s="224">
        <v>45.26</v>
      </c>
      <c r="G22" s="226">
        <f>ROUND(($G$5/100+1)*F22,2)</f>
        <v>57.41</v>
      </c>
      <c r="H22" s="225">
        <f>ROUND(E22*F22,2)</f>
        <v>90527.74</v>
      </c>
      <c r="I22" s="325">
        <f>ROUND(E22*G22,2)</f>
        <v>114829.82</v>
      </c>
    </row>
    <row r="23" spans="1:9" s="211" customFormat="1" ht="12">
      <c r="A23" s="322">
        <v>4</v>
      </c>
      <c r="B23" s="221" t="s">
        <v>325</v>
      </c>
      <c r="C23" s="230"/>
      <c r="D23" s="230"/>
      <c r="E23" s="231"/>
      <c r="F23" s="231"/>
      <c r="G23" s="234"/>
      <c r="H23" s="232">
        <f>SUM(H24)</f>
        <v>18861.86</v>
      </c>
      <c r="I23" s="326">
        <f>SUM(I24)</f>
        <v>23924.17</v>
      </c>
    </row>
    <row r="24" spans="1:9" ht="24">
      <c r="A24" s="324" t="s">
        <v>275</v>
      </c>
      <c r="B24" s="233" t="s">
        <v>405</v>
      </c>
      <c r="C24" s="223" t="s">
        <v>420</v>
      </c>
      <c r="D24" s="223" t="s">
        <v>151</v>
      </c>
      <c r="E24" s="224">
        <f>'MEMORIA DE CÁLCULO'!H99</f>
        <v>676.78</v>
      </c>
      <c r="F24" s="224">
        <v>27.87</v>
      </c>
      <c r="G24" s="226">
        <f>ROUND(($G$5/100+1)*F24,2)</f>
        <v>35.35</v>
      </c>
      <c r="H24" s="225">
        <f>ROUND(E24*F24,2)</f>
        <v>18861.86</v>
      </c>
      <c r="I24" s="325">
        <f>ROUND(E24*G24,2)</f>
        <v>23924.17</v>
      </c>
    </row>
    <row r="25" spans="1:9" s="211" customFormat="1" ht="12">
      <c r="A25" s="322">
        <v>5</v>
      </c>
      <c r="B25" s="221" t="s">
        <v>121</v>
      </c>
      <c r="C25" s="230"/>
      <c r="D25" s="230"/>
      <c r="E25" s="231"/>
      <c r="F25" s="231"/>
      <c r="G25" s="234"/>
      <c r="H25" s="232">
        <f>SUM(H26)</f>
        <v>2230.91</v>
      </c>
      <c r="I25" s="326">
        <f>SUM(I26)</f>
        <v>2829.63</v>
      </c>
    </row>
    <row r="26" spans="1:9" s="211" customFormat="1" ht="60">
      <c r="A26" s="324" t="s">
        <v>276</v>
      </c>
      <c r="B26" s="402" t="s">
        <v>442</v>
      </c>
      <c r="C26" s="223" t="s">
        <v>452</v>
      </c>
      <c r="D26" s="223" t="s">
        <v>151</v>
      </c>
      <c r="E26" s="224">
        <f>'MEMORIA DE CÁLCULO'!H108</f>
        <v>84.09</v>
      </c>
      <c r="F26" s="224">
        <v>26.53</v>
      </c>
      <c r="G26" s="226">
        <f>ROUND(($G$5/100+1)*F26,2)</f>
        <v>33.65</v>
      </c>
      <c r="H26" s="225">
        <f>ROUND(E26*F26,2)</f>
        <v>2230.91</v>
      </c>
      <c r="I26" s="325">
        <f>ROUND(E26*G26,2)</f>
        <v>2829.63</v>
      </c>
    </row>
    <row r="27" spans="1:9" s="211" customFormat="1" ht="27" customHeight="1">
      <c r="A27" s="571" t="s">
        <v>326</v>
      </c>
      <c r="B27" s="572"/>
      <c r="C27" s="572"/>
      <c r="D27" s="572"/>
      <c r="E27" s="572"/>
      <c r="F27" s="572"/>
      <c r="G27" s="572"/>
      <c r="H27" s="304">
        <f>SUM(H23+H20+H15+H9)</f>
        <v>127442.01000000001</v>
      </c>
      <c r="I27" s="327">
        <f>SUM(I23+I20+I15+I9+I25)</f>
        <v>164797.28000000003</v>
      </c>
    </row>
    <row r="28" spans="1:9" ht="12" customHeight="1">
      <c r="A28" s="328"/>
      <c r="B28" s="258"/>
      <c r="C28" s="258"/>
      <c r="D28" s="258"/>
      <c r="E28" s="258"/>
      <c r="F28" s="258"/>
      <c r="G28" s="258"/>
      <c r="H28" s="258"/>
      <c r="I28" s="329"/>
    </row>
    <row r="29" spans="1:9" ht="17.25" customHeight="1">
      <c r="A29" s="328"/>
      <c r="B29" s="258"/>
      <c r="C29" s="258"/>
      <c r="D29" s="258"/>
      <c r="E29" s="258"/>
      <c r="F29" s="258"/>
      <c r="G29" s="258"/>
      <c r="H29" s="258"/>
      <c r="I29" s="329"/>
    </row>
    <row r="30" spans="1:9" ht="12.75">
      <c r="A30" s="330"/>
      <c r="B30" s="216"/>
      <c r="C30" s="216"/>
      <c r="D30" s="216"/>
      <c r="E30" s="216"/>
      <c r="F30" s="216"/>
      <c r="G30" s="216"/>
      <c r="H30" s="216"/>
      <c r="I30" s="331"/>
    </row>
    <row r="31" spans="1:9" ht="12.75" customHeight="1">
      <c r="A31" s="563" t="s">
        <v>396</v>
      </c>
      <c r="B31" s="564"/>
      <c r="C31" s="564"/>
      <c r="D31" s="564"/>
      <c r="E31" s="564"/>
      <c r="F31" s="564"/>
      <c r="G31" s="564"/>
      <c r="H31" s="564"/>
      <c r="I31" s="565"/>
    </row>
    <row r="32" spans="1:9" ht="12.75" customHeight="1">
      <c r="A32" s="566" t="s">
        <v>397</v>
      </c>
      <c r="B32" s="567"/>
      <c r="C32" s="567"/>
      <c r="D32" s="567"/>
      <c r="E32" s="567"/>
      <c r="F32" s="567"/>
      <c r="G32" s="567"/>
      <c r="H32" s="567"/>
      <c r="I32" s="568"/>
    </row>
    <row r="33" spans="1:9" ht="12.75">
      <c r="A33" s="332"/>
      <c r="B33" s="217"/>
      <c r="C33" s="217"/>
      <c r="D33" s="217"/>
      <c r="E33" s="217"/>
      <c r="F33" s="217"/>
      <c r="G33" s="215"/>
      <c r="H33" s="215"/>
      <c r="I33" s="333"/>
    </row>
    <row r="34" spans="1:9" ht="12.75">
      <c r="A34" s="561"/>
      <c r="B34" s="562"/>
      <c r="C34" s="562"/>
      <c r="D34" s="562"/>
      <c r="E34" s="562"/>
      <c r="F34" s="562"/>
      <c r="G34" s="218"/>
      <c r="H34" s="215"/>
      <c r="I34" s="333"/>
    </row>
    <row r="35" spans="1:9" ht="12.75" customHeight="1">
      <c r="A35" s="563" t="s">
        <v>398</v>
      </c>
      <c r="B35" s="564"/>
      <c r="C35" s="564"/>
      <c r="D35" s="564"/>
      <c r="E35" s="564"/>
      <c r="F35" s="564"/>
      <c r="G35" s="564"/>
      <c r="H35" s="564"/>
      <c r="I35" s="565"/>
    </row>
    <row r="36" spans="1:9" ht="12.75" customHeight="1">
      <c r="A36" s="566" t="s">
        <v>250</v>
      </c>
      <c r="B36" s="567"/>
      <c r="C36" s="567"/>
      <c r="D36" s="567"/>
      <c r="E36" s="567"/>
      <c r="F36" s="567"/>
      <c r="G36" s="567"/>
      <c r="H36" s="567"/>
      <c r="I36" s="568"/>
    </row>
    <row r="37" spans="1:9" ht="14.25">
      <c r="A37" s="328"/>
      <c r="B37" s="258"/>
      <c r="C37" s="258"/>
      <c r="D37" s="258"/>
      <c r="E37" s="258"/>
      <c r="F37" s="258"/>
      <c r="G37" s="258"/>
      <c r="H37" s="258"/>
      <c r="I37" s="329"/>
    </row>
    <row r="38" spans="1:9" ht="14.25">
      <c r="A38" s="328"/>
      <c r="B38" s="258"/>
      <c r="C38" s="258"/>
      <c r="D38" s="258"/>
      <c r="E38" s="258"/>
      <c r="F38" s="258"/>
      <c r="G38" s="258"/>
      <c r="H38" s="258"/>
      <c r="I38" s="329"/>
    </row>
    <row r="39" spans="1:9" ht="15" thickBot="1">
      <c r="A39" s="334"/>
      <c r="B39" s="335"/>
      <c r="C39" s="335"/>
      <c r="D39" s="335"/>
      <c r="E39" s="335"/>
      <c r="F39" s="335"/>
      <c r="G39" s="335"/>
      <c r="H39" s="335"/>
      <c r="I39" s="336"/>
    </row>
  </sheetData>
  <sheetProtection/>
  <mergeCells count="26">
    <mergeCell ref="A14:I14"/>
    <mergeCell ref="D7:D8"/>
    <mergeCell ref="E7:E8"/>
    <mergeCell ref="F7:G7"/>
    <mergeCell ref="A1:I1"/>
    <mergeCell ref="A3:C3"/>
    <mergeCell ref="D3:I3"/>
    <mergeCell ref="C7:C8"/>
    <mergeCell ref="A4:C4"/>
    <mergeCell ref="D4:I4"/>
    <mergeCell ref="A5:C5"/>
    <mergeCell ref="D5:F5"/>
    <mergeCell ref="G5:I5"/>
    <mergeCell ref="A6:C6"/>
    <mergeCell ref="D6:F6"/>
    <mergeCell ref="G6:I6"/>
    <mergeCell ref="A2:I2"/>
    <mergeCell ref="A34:F34"/>
    <mergeCell ref="A31:I31"/>
    <mergeCell ref="A32:I32"/>
    <mergeCell ref="A35:I35"/>
    <mergeCell ref="A36:I36"/>
    <mergeCell ref="H7:I7"/>
    <mergeCell ref="A27:G27"/>
    <mergeCell ref="A7:A8"/>
    <mergeCell ref="B7:B8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22"/>
  <sheetViews>
    <sheetView view="pageBreakPreview" zoomScale="85" zoomScaleNormal="85" zoomScaleSheetLayoutView="85" zoomScalePageLayoutView="0" workbookViewId="0" topLeftCell="A92">
      <selection activeCell="E98" sqref="E98"/>
    </sheetView>
  </sheetViews>
  <sheetFormatPr defaultColWidth="9.140625" defaultRowHeight="12.75"/>
  <cols>
    <col min="1" max="1" width="29.140625" style="0" customWidth="1"/>
    <col min="2" max="2" width="18.28125" style="0" customWidth="1"/>
    <col min="3" max="3" width="12.140625" style="0" customWidth="1"/>
    <col min="4" max="4" width="11.28125" style="0" customWidth="1"/>
    <col min="5" max="5" width="15.140625" style="0" customWidth="1"/>
    <col min="6" max="6" width="14.57421875" style="0" customWidth="1"/>
    <col min="7" max="7" width="12.140625" style="0" customWidth="1"/>
    <col min="8" max="8" width="16.00390625" style="0" customWidth="1"/>
    <col min="9" max="9" width="6.28125" style="0" hidden="1" customWidth="1"/>
  </cols>
  <sheetData>
    <row r="3" ht="2.25" customHeight="1" thickBot="1"/>
    <row r="4" ht="12.75" hidden="1"/>
    <row r="5" spans="1:9" s="252" customFormat="1" ht="15" customHeight="1">
      <c r="A5" s="600"/>
      <c r="B5" s="601"/>
      <c r="C5" s="602"/>
      <c r="D5" s="612" t="s">
        <v>367</v>
      </c>
      <c r="E5" s="613"/>
      <c r="F5" s="613"/>
      <c r="G5" s="613"/>
      <c r="H5" s="614"/>
      <c r="I5" s="251"/>
    </row>
    <row r="6" spans="1:9" s="252" customFormat="1" ht="15" customHeight="1">
      <c r="A6" s="603"/>
      <c r="B6" s="604"/>
      <c r="C6" s="605"/>
      <c r="D6" s="615"/>
      <c r="E6" s="616"/>
      <c r="F6" s="616"/>
      <c r="G6" s="616"/>
      <c r="H6" s="617"/>
      <c r="I6" s="251"/>
    </row>
    <row r="7" spans="1:9" s="252" customFormat="1" ht="26.25" customHeight="1">
      <c r="A7" s="603"/>
      <c r="B7" s="604"/>
      <c r="C7" s="605"/>
      <c r="D7" s="615"/>
      <c r="E7" s="616"/>
      <c r="F7" s="616"/>
      <c r="G7" s="616"/>
      <c r="H7" s="617"/>
      <c r="I7" s="251"/>
    </row>
    <row r="8" spans="1:9" s="252" customFormat="1" ht="18" customHeight="1">
      <c r="A8" s="606"/>
      <c r="B8" s="607"/>
      <c r="C8" s="608"/>
      <c r="D8" s="618"/>
      <c r="E8" s="619"/>
      <c r="F8" s="619"/>
      <c r="G8" s="619"/>
      <c r="H8" s="620"/>
      <c r="I8" s="251"/>
    </row>
    <row r="9" spans="1:9" s="252" customFormat="1" ht="18">
      <c r="A9" s="625" t="s">
        <v>361</v>
      </c>
      <c r="B9" s="626"/>
      <c r="C9" s="626"/>
      <c r="D9" s="626"/>
      <c r="E9" s="626"/>
      <c r="F9" s="626"/>
      <c r="G9" s="626"/>
      <c r="H9" s="627"/>
      <c r="I9" s="251"/>
    </row>
    <row r="10" spans="1:9" s="252" customFormat="1" ht="28.5" customHeight="1">
      <c r="A10" s="337" t="s">
        <v>362</v>
      </c>
      <c r="B10" s="628" t="s">
        <v>433</v>
      </c>
      <c r="C10" s="629"/>
      <c r="D10" s="629"/>
      <c r="E10" s="629"/>
      <c r="F10" s="629"/>
      <c r="G10" s="629"/>
      <c r="H10" s="630"/>
      <c r="I10" s="251"/>
    </row>
    <row r="11" spans="1:9" ht="15.75" thickBot="1">
      <c r="A11" s="609" t="s">
        <v>423</v>
      </c>
      <c r="B11" s="610"/>
      <c r="C11" s="610"/>
      <c r="D11" s="610"/>
      <c r="E11" s="610"/>
      <c r="F11" s="610"/>
      <c r="G11" s="610"/>
      <c r="H11" s="611"/>
      <c r="I11" s="252"/>
    </row>
    <row r="12" spans="1:9" ht="15.75" thickBot="1">
      <c r="A12" s="635" t="s">
        <v>437</v>
      </c>
      <c r="B12" s="636"/>
      <c r="C12" s="636"/>
      <c r="D12" s="636"/>
      <c r="E12" s="636"/>
      <c r="F12" s="636"/>
      <c r="G12" s="307" t="s">
        <v>363</v>
      </c>
      <c r="H12" s="308">
        <v>26.85</v>
      </c>
      <c r="I12" s="252"/>
    </row>
    <row r="13" spans="1:9" s="70" customFormat="1" ht="12">
      <c r="A13" s="637" t="s">
        <v>155</v>
      </c>
      <c r="B13" s="638"/>
      <c r="C13" s="638"/>
      <c r="D13" s="638"/>
      <c r="E13" s="638"/>
      <c r="F13" s="638"/>
      <c r="G13" s="638"/>
      <c r="H13" s="639"/>
      <c r="I13" s="124"/>
    </row>
    <row r="14" spans="1:9" s="70" customFormat="1" ht="12.75" customHeight="1">
      <c r="A14" s="338" t="s">
        <v>156</v>
      </c>
      <c r="B14" s="310">
        <v>1.1</v>
      </c>
      <c r="C14" s="655"/>
      <c r="D14" s="631" t="s">
        <v>299</v>
      </c>
      <c r="E14" s="631"/>
      <c r="F14" s="631"/>
      <c r="G14" s="631"/>
      <c r="H14" s="632"/>
      <c r="I14" s="124"/>
    </row>
    <row r="15" spans="1:9" s="70" customFormat="1" ht="11.25">
      <c r="A15" s="338" t="s">
        <v>157</v>
      </c>
      <c r="B15" s="311"/>
      <c r="C15" s="656"/>
      <c r="D15" s="633"/>
      <c r="E15" s="633"/>
      <c r="F15" s="633"/>
      <c r="G15" s="633"/>
      <c r="H15" s="634"/>
      <c r="I15" s="124"/>
    </row>
    <row r="16" spans="1:9" s="70" customFormat="1" ht="11.25">
      <c r="A16" s="667" t="s">
        <v>158</v>
      </c>
      <c r="B16" s="668"/>
      <c r="C16" s="295"/>
      <c r="D16" s="623" t="s">
        <v>160</v>
      </c>
      <c r="E16" s="623" t="s">
        <v>306</v>
      </c>
      <c r="F16" s="671"/>
      <c r="G16" s="623" t="s">
        <v>161</v>
      </c>
      <c r="H16" s="650"/>
      <c r="I16" s="124"/>
    </row>
    <row r="17" spans="1:9" s="70" customFormat="1" ht="11.25">
      <c r="A17" s="669"/>
      <c r="B17" s="670"/>
      <c r="C17" s="296"/>
      <c r="D17" s="624"/>
      <c r="E17" s="624"/>
      <c r="F17" s="672"/>
      <c r="G17" s="624"/>
      <c r="H17" s="651"/>
      <c r="I17" s="124"/>
    </row>
    <row r="18" spans="1:9" s="70" customFormat="1" ht="11.25">
      <c r="A18" s="621"/>
      <c r="B18" s="622"/>
      <c r="C18" s="125"/>
      <c r="D18" s="126">
        <v>3</v>
      </c>
      <c r="E18" s="126">
        <v>1</v>
      </c>
      <c r="F18" s="126"/>
      <c r="G18" s="126">
        <f>D18*E18</f>
        <v>3</v>
      </c>
      <c r="H18" s="339"/>
      <c r="I18" s="124"/>
    </row>
    <row r="19" spans="1:9" s="70" customFormat="1" ht="11.25">
      <c r="A19" s="652" t="s">
        <v>51</v>
      </c>
      <c r="B19" s="665"/>
      <c r="C19" s="297"/>
      <c r="D19" s="298"/>
      <c r="E19" s="298"/>
      <c r="F19" s="299"/>
      <c r="G19" s="300">
        <f>SUM(G18)</f>
        <v>3</v>
      </c>
      <c r="H19" s="340"/>
      <c r="I19" s="124"/>
    </row>
    <row r="20" spans="1:9" s="70" customFormat="1" ht="10.5" customHeight="1">
      <c r="A20" s="342"/>
      <c r="B20" s="301"/>
      <c r="C20" s="301"/>
      <c r="D20" s="301"/>
      <c r="E20" s="301"/>
      <c r="F20" s="301"/>
      <c r="G20" s="301"/>
      <c r="H20" s="341"/>
      <c r="I20" s="124"/>
    </row>
    <row r="21" spans="1:9" s="70" customFormat="1" ht="10.5" customHeight="1">
      <c r="A21" s="343"/>
      <c r="B21" s="302"/>
      <c r="C21" s="344"/>
      <c r="D21" s="344"/>
      <c r="E21" s="344"/>
      <c r="F21" s="344"/>
      <c r="G21" s="344"/>
      <c r="H21" s="345"/>
      <c r="I21" s="124"/>
    </row>
    <row r="22" spans="1:9" s="70" customFormat="1" ht="11.25">
      <c r="A22" s="346" t="s">
        <v>156</v>
      </c>
      <c r="B22" s="310">
        <v>1.2</v>
      </c>
      <c r="C22" s="312"/>
      <c r="D22" s="640" t="s">
        <v>425</v>
      </c>
      <c r="E22" s="641"/>
      <c r="F22" s="641"/>
      <c r="G22" s="641"/>
      <c r="H22" s="642"/>
      <c r="I22" s="124"/>
    </row>
    <row r="23" spans="1:9" s="70" customFormat="1" ht="11.25">
      <c r="A23" s="338" t="s">
        <v>157</v>
      </c>
      <c r="B23" s="311"/>
      <c r="C23" s="313"/>
      <c r="D23" s="643"/>
      <c r="E23" s="644"/>
      <c r="F23" s="644"/>
      <c r="G23" s="644"/>
      <c r="H23" s="645"/>
      <c r="I23" s="124"/>
    </row>
    <row r="24" spans="1:9" s="70" customFormat="1" ht="11.25">
      <c r="A24" s="667" t="s">
        <v>158</v>
      </c>
      <c r="B24" s="668"/>
      <c r="C24" s="295"/>
      <c r="D24" s="623" t="s">
        <v>429</v>
      </c>
      <c r="E24" s="657" t="s">
        <v>428</v>
      </c>
      <c r="F24" s="623" t="s">
        <v>159</v>
      </c>
      <c r="G24" s="671"/>
      <c r="H24" s="675" t="s">
        <v>424</v>
      </c>
      <c r="I24" s="124"/>
    </row>
    <row r="25" spans="1:9" s="70" customFormat="1" ht="11.25">
      <c r="A25" s="669"/>
      <c r="B25" s="670"/>
      <c r="C25" s="296"/>
      <c r="D25" s="624"/>
      <c r="E25" s="658"/>
      <c r="F25" s="624"/>
      <c r="G25" s="672"/>
      <c r="H25" s="676"/>
      <c r="I25" s="124"/>
    </row>
    <row r="26" spans="1:9" s="70" customFormat="1" ht="11.25">
      <c r="A26" s="405" t="s">
        <v>439</v>
      </c>
      <c r="B26" s="406"/>
      <c r="C26" s="409"/>
      <c r="D26" s="126">
        <v>177.48</v>
      </c>
      <c r="E26" s="126">
        <v>20</v>
      </c>
      <c r="F26" s="126">
        <v>3</v>
      </c>
      <c r="G26" s="126"/>
      <c r="H26" s="339">
        <f>(D26/E26)*F26</f>
        <v>26.621999999999996</v>
      </c>
      <c r="I26" s="124"/>
    </row>
    <row r="27" spans="1:9" s="70" customFormat="1" ht="11.25">
      <c r="A27" s="405" t="s">
        <v>440</v>
      </c>
      <c r="B27" s="406"/>
      <c r="C27" s="409"/>
      <c r="D27" s="126">
        <v>176.47</v>
      </c>
      <c r="E27" s="126">
        <v>20</v>
      </c>
      <c r="F27" s="126">
        <v>3</v>
      </c>
      <c r="G27" s="126"/>
      <c r="H27" s="339">
        <f>(D27/E27)*F27</f>
        <v>26.470499999999998</v>
      </c>
      <c r="I27" s="124"/>
    </row>
    <row r="28" spans="1:9" s="70" customFormat="1" ht="11.25">
      <c r="A28" s="652" t="s">
        <v>51</v>
      </c>
      <c r="B28" s="665"/>
      <c r="C28" s="297"/>
      <c r="D28" s="303"/>
      <c r="E28" s="303"/>
      <c r="F28" s="303"/>
      <c r="G28" s="303"/>
      <c r="H28" s="403">
        <f>SUM(H26:H27)</f>
        <v>53.092499999999994</v>
      </c>
      <c r="I28" s="124"/>
    </row>
    <row r="29" spans="1:9" s="70" customFormat="1" ht="11.25">
      <c r="A29" s="346" t="s">
        <v>156</v>
      </c>
      <c r="B29" s="310">
        <v>1.3</v>
      </c>
      <c r="C29" s="312"/>
      <c r="D29" s="640" t="s">
        <v>446</v>
      </c>
      <c r="E29" s="641"/>
      <c r="F29" s="641"/>
      <c r="G29" s="641"/>
      <c r="H29" s="642"/>
      <c r="I29" s="124"/>
    </row>
    <row r="30" spans="1:9" s="70" customFormat="1" ht="11.25">
      <c r="A30" s="338" t="s">
        <v>157</v>
      </c>
      <c r="B30" s="311"/>
      <c r="C30" s="313"/>
      <c r="D30" s="643"/>
      <c r="E30" s="644"/>
      <c r="F30" s="644"/>
      <c r="G30" s="644"/>
      <c r="H30" s="645"/>
      <c r="I30" s="124"/>
    </row>
    <row r="31" spans="1:9" s="70" customFormat="1" ht="11.25">
      <c r="A31" s="667" t="s">
        <v>158</v>
      </c>
      <c r="B31" s="668"/>
      <c r="C31" s="295"/>
      <c r="D31" s="623" t="s">
        <v>160</v>
      </c>
      <c r="E31" s="657"/>
      <c r="F31" s="623" t="s">
        <v>159</v>
      </c>
      <c r="G31" s="671"/>
      <c r="H31" s="675" t="s">
        <v>447</v>
      </c>
      <c r="I31" s="124"/>
    </row>
    <row r="32" spans="1:9" s="70" customFormat="1" ht="11.25">
      <c r="A32" s="669"/>
      <c r="B32" s="670"/>
      <c r="C32" s="296"/>
      <c r="D32" s="624"/>
      <c r="E32" s="658"/>
      <c r="F32" s="624"/>
      <c r="G32" s="672"/>
      <c r="H32" s="676"/>
      <c r="I32" s="124"/>
    </row>
    <row r="33" spans="1:9" s="70" customFormat="1" ht="11.25">
      <c r="A33" s="673" t="s">
        <v>436</v>
      </c>
      <c r="B33" s="674"/>
      <c r="C33" s="126"/>
      <c r="D33" s="126">
        <v>17.7</v>
      </c>
      <c r="E33" s="126"/>
      <c r="F33" s="126">
        <v>1</v>
      </c>
      <c r="G33" s="126"/>
      <c r="H33" s="339">
        <f>D33*F33</f>
        <v>17.7</v>
      </c>
      <c r="I33" s="124"/>
    </row>
    <row r="34" spans="1:9" s="70" customFormat="1" ht="11.25">
      <c r="A34" s="652" t="s">
        <v>51</v>
      </c>
      <c r="B34" s="665"/>
      <c r="C34" s="297"/>
      <c r="D34" s="303"/>
      <c r="E34" s="303"/>
      <c r="F34" s="303"/>
      <c r="G34" s="303"/>
      <c r="H34" s="403">
        <f>SUM(H33:H33)</f>
        <v>17.7</v>
      </c>
      <c r="I34" s="124"/>
    </row>
    <row r="35" spans="1:9" s="70" customFormat="1" ht="11.25">
      <c r="A35" s="346" t="s">
        <v>156</v>
      </c>
      <c r="B35" s="310">
        <v>1.4</v>
      </c>
      <c r="C35" s="312"/>
      <c r="D35" s="640" t="s">
        <v>448</v>
      </c>
      <c r="E35" s="641"/>
      <c r="F35" s="641"/>
      <c r="G35" s="641"/>
      <c r="H35" s="642"/>
      <c r="I35" s="124"/>
    </row>
    <row r="36" spans="1:9" s="70" customFormat="1" ht="11.25">
      <c r="A36" s="338" t="s">
        <v>157</v>
      </c>
      <c r="B36" s="311"/>
      <c r="C36" s="313"/>
      <c r="D36" s="643"/>
      <c r="E36" s="644"/>
      <c r="F36" s="644"/>
      <c r="G36" s="644"/>
      <c r="H36" s="645"/>
      <c r="I36" s="124"/>
    </row>
    <row r="37" spans="1:9" s="70" customFormat="1" ht="11.25">
      <c r="A37" s="667" t="s">
        <v>158</v>
      </c>
      <c r="B37" s="668"/>
      <c r="C37" s="295"/>
      <c r="D37" s="623" t="s">
        <v>160</v>
      </c>
      <c r="E37" s="657"/>
      <c r="F37" s="623" t="s">
        <v>159</v>
      </c>
      <c r="G37" s="671"/>
      <c r="H37" s="675" t="s">
        <v>447</v>
      </c>
      <c r="I37" s="124"/>
    </row>
    <row r="38" spans="1:9" s="70" customFormat="1" ht="11.25">
      <c r="A38" s="669"/>
      <c r="B38" s="670"/>
      <c r="C38" s="296"/>
      <c r="D38" s="624"/>
      <c r="E38" s="658"/>
      <c r="F38" s="624"/>
      <c r="G38" s="672"/>
      <c r="H38" s="676"/>
      <c r="I38" s="124"/>
    </row>
    <row r="39" spans="1:9" s="70" customFormat="1" ht="11.25">
      <c r="A39" s="673" t="str">
        <f>A33</f>
        <v>TODAS AS RUAS</v>
      </c>
      <c r="B39" s="674"/>
      <c r="C39" s="126"/>
      <c r="D39" s="126">
        <v>6.41</v>
      </c>
      <c r="E39" s="126"/>
      <c r="F39" s="126">
        <v>1</v>
      </c>
      <c r="G39" s="126"/>
      <c r="H39" s="339">
        <f>D39*F39</f>
        <v>6.41</v>
      </c>
      <c r="I39" s="124"/>
    </row>
    <row r="40" spans="1:9" s="70" customFormat="1" ht="11.25">
      <c r="A40" s="652" t="s">
        <v>51</v>
      </c>
      <c r="B40" s="665"/>
      <c r="C40" s="297"/>
      <c r="D40" s="303"/>
      <c r="E40" s="303"/>
      <c r="F40" s="303"/>
      <c r="G40" s="303"/>
      <c r="H40" s="403">
        <f>SUM(H39:H39)</f>
        <v>6.41</v>
      </c>
      <c r="I40" s="124"/>
    </row>
    <row r="41" spans="1:9" s="70" customFormat="1" ht="11.25">
      <c r="A41" s="652"/>
      <c r="B41" s="653"/>
      <c r="C41" s="653"/>
      <c r="D41" s="653"/>
      <c r="E41" s="653"/>
      <c r="F41" s="653"/>
      <c r="G41" s="653"/>
      <c r="H41" s="654"/>
      <c r="I41" s="124"/>
    </row>
    <row r="42" spans="1:9" s="70" customFormat="1" ht="11.25">
      <c r="A42" s="652"/>
      <c r="B42" s="653"/>
      <c r="C42" s="653"/>
      <c r="D42" s="653"/>
      <c r="E42" s="653"/>
      <c r="F42" s="653"/>
      <c r="G42" s="653"/>
      <c r="H42" s="654"/>
      <c r="I42" s="124"/>
    </row>
    <row r="43" spans="1:9" s="70" customFormat="1" ht="11.25" customHeight="1">
      <c r="A43" s="637" t="s">
        <v>359</v>
      </c>
      <c r="B43" s="638"/>
      <c r="C43" s="638"/>
      <c r="D43" s="638"/>
      <c r="E43" s="638"/>
      <c r="F43" s="638"/>
      <c r="G43" s="638"/>
      <c r="H43" s="639"/>
      <c r="I43" s="124"/>
    </row>
    <row r="44" spans="1:9" s="70" customFormat="1" ht="11.25" customHeight="1">
      <c r="A44" s="338" t="s">
        <v>156</v>
      </c>
      <c r="B44" s="309" t="s">
        <v>262</v>
      </c>
      <c r="C44" s="314"/>
      <c r="D44" s="640" t="s">
        <v>407</v>
      </c>
      <c r="E44" s="641"/>
      <c r="F44" s="641"/>
      <c r="G44" s="641"/>
      <c r="H44" s="642"/>
      <c r="I44" s="124"/>
    </row>
    <row r="45" spans="1:9" s="70" customFormat="1" ht="12" customHeight="1">
      <c r="A45" s="338" t="s">
        <v>157</v>
      </c>
      <c r="B45" s="311"/>
      <c r="C45" s="313"/>
      <c r="D45" s="643"/>
      <c r="E45" s="644"/>
      <c r="F45" s="644"/>
      <c r="G45" s="644"/>
      <c r="H45" s="645"/>
      <c r="I45" s="124"/>
    </row>
    <row r="46" spans="1:9" s="70" customFormat="1" ht="11.25">
      <c r="A46" s="646" t="s">
        <v>162</v>
      </c>
      <c r="B46" s="647"/>
      <c r="C46" s="287"/>
      <c r="D46" s="623" t="s">
        <v>160</v>
      </c>
      <c r="E46" s="657" t="s">
        <v>366</v>
      </c>
      <c r="F46" s="623" t="s">
        <v>168</v>
      </c>
      <c r="G46" s="623" t="s">
        <v>159</v>
      </c>
      <c r="H46" s="650" t="s">
        <v>300</v>
      </c>
      <c r="I46" s="124"/>
    </row>
    <row r="47" spans="1:9" s="70" customFormat="1" ht="11.25">
      <c r="A47" s="648"/>
      <c r="B47" s="649"/>
      <c r="C47" s="288"/>
      <c r="D47" s="624"/>
      <c r="E47" s="658"/>
      <c r="F47" s="624"/>
      <c r="G47" s="624"/>
      <c r="H47" s="651"/>
      <c r="I47" s="124"/>
    </row>
    <row r="48" spans="1:9" s="70" customFormat="1" ht="11.25">
      <c r="A48" s="347" t="str">
        <f>A26</f>
        <v>RUA GERÔNIMO BISPO</v>
      </c>
      <c r="B48" s="127"/>
      <c r="C48" s="125"/>
      <c r="D48" s="126">
        <f>D26</f>
        <v>177.48</v>
      </c>
      <c r="E48" s="126">
        <v>6.9</v>
      </c>
      <c r="F48" s="126">
        <v>0.15</v>
      </c>
      <c r="G48" s="126">
        <v>1</v>
      </c>
      <c r="H48" s="339">
        <f>D48*E48*F48*G48</f>
        <v>183.6918</v>
      </c>
      <c r="I48" s="124"/>
    </row>
    <row r="49" spans="1:9" s="70" customFormat="1" ht="11.25">
      <c r="A49" s="347" t="str">
        <f>A27</f>
        <v>RUA SALTIN VALADARES</v>
      </c>
      <c r="B49" s="127"/>
      <c r="C49" s="125"/>
      <c r="D49" s="126">
        <f>D27</f>
        <v>176.47</v>
      </c>
      <c r="E49" s="126">
        <v>6.2</v>
      </c>
      <c r="F49" s="126">
        <v>0.15</v>
      </c>
      <c r="G49" s="126">
        <v>1</v>
      </c>
      <c r="H49" s="339">
        <f>D49*E49*F49*G49</f>
        <v>164.1171</v>
      </c>
      <c r="I49" s="124"/>
    </row>
    <row r="50" spans="1:9" s="70" customFormat="1" ht="11.25">
      <c r="A50" s="652" t="s">
        <v>51</v>
      </c>
      <c r="B50" s="665"/>
      <c r="C50" s="289"/>
      <c r="D50" s="290"/>
      <c r="E50" s="290"/>
      <c r="F50" s="126"/>
      <c r="G50" s="293"/>
      <c r="H50" s="348">
        <f>SUM(H48:H49)</f>
        <v>347.8089</v>
      </c>
      <c r="I50" s="124"/>
    </row>
    <row r="51" spans="1:8" s="292" customFormat="1" ht="11.25" customHeight="1">
      <c r="A51" s="349"/>
      <c r="B51" s="350"/>
      <c r="C51" s="350"/>
      <c r="D51" s="350"/>
      <c r="E51" s="350"/>
      <c r="F51" s="350"/>
      <c r="G51" s="350"/>
      <c r="H51" s="351"/>
    </row>
    <row r="52" spans="1:9" s="70" customFormat="1" ht="11.25" customHeight="1">
      <c r="A52" s="338" t="s">
        <v>156</v>
      </c>
      <c r="B52" s="309" t="s">
        <v>263</v>
      </c>
      <c r="C52" s="314"/>
      <c r="D52" s="694" t="s">
        <v>403</v>
      </c>
      <c r="E52" s="695"/>
      <c r="F52" s="695"/>
      <c r="G52" s="695"/>
      <c r="H52" s="696"/>
      <c r="I52" s="124"/>
    </row>
    <row r="53" spans="1:9" s="70" customFormat="1" ht="12" customHeight="1">
      <c r="A53" s="338" t="s">
        <v>157</v>
      </c>
      <c r="B53" s="311"/>
      <c r="C53" s="313"/>
      <c r="D53" s="697"/>
      <c r="E53" s="698"/>
      <c r="F53" s="698"/>
      <c r="G53" s="698"/>
      <c r="H53" s="699"/>
      <c r="I53" s="124"/>
    </row>
    <row r="54" spans="1:9" s="70" customFormat="1" ht="11.25">
      <c r="A54" s="646" t="s">
        <v>162</v>
      </c>
      <c r="B54" s="647"/>
      <c r="C54" s="287"/>
      <c r="D54" s="623" t="s">
        <v>160</v>
      </c>
      <c r="E54" s="657" t="s">
        <v>366</v>
      </c>
      <c r="F54" s="623" t="s">
        <v>159</v>
      </c>
      <c r="G54" s="623"/>
      <c r="H54" s="650" t="s">
        <v>408</v>
      </c>
      <c r="I54" s="124"/>
    </row>
    <row r="55" spans="1:9" s="70" customFormat="1" ht="11.25">
      <c r="A55" s="648"/>
      <c r="B55" s="649"/>
      <c r="C55" s="288"/>
      <c r="D55" s="624"/>
      <c r="E55" s="658"/>
      <c r="F55" s="624"/>
      <c r="G55" s="624"/>
      <c r="H55" s="651"/>
      <c r="I55" s="124"/>
    </row>
    <row r="56" spans="1:9" s="70" customFormat="1" ht="11.25">
      <c r="A56" s="347" t="str">
        <f>A48</f>
        <v>RUA GERÔNIMO BISPO</v>
      </c>
      <c r="B56" s="127"/>
      <c r="C56" s="125"/>
      <c r="D56" s="126">
        <f>D48</f>
        <v>177.48</v>
      </c>
      <c r="E56" s="126">
        <f>E48</f>
        <v>6.9</v>
      </c>
      <c r="F56" s="126">
        <v>1</v>
      </c>
      <c r="G56" s="126"/>
      <c r="H56" s="339">
        <f>D56*E56*F56</f>
        <v>1224.612</v>
      </c>
      <c r="I56" s="124"/>
    </row>
    <row r="57" spans="1:9" s="70" customFormat="1" ht="11.25">
      <c r="A57" s="347" t="str">
        <f>A49</f>
        <v>RUA SALTIN VALADARES</v>
      </c>
      <c r="B57" s="127"/>
      <c r="C57" s="125"/>
      <c r="D57" s="126">
        <f>D49</f>
        <v>176.47</v>
      </c>
      <c r="E57" s="126">
        <f>E49</f>
        <v>6.2</v>
      </c>
      <c r="F57" s="126">
        <v>1</v>
      </c>
      <c r="G57" s="126"/>
      <c r="H57" s="339">
        <f>D57*E57*F57</f>
        <v>1094.114</v>
      </c>
      <c r="I57" s="124"/>
    </row>
    <row r="58" spans="1:9" s="70" customFormat="1" ht="11.25">
      <c r="A58" s="652" t="s">
        <v>51</v>
      </c>
      <c r="B58" s="665"/>
      <c r="C58" s="289"/>
      <c r="D58" s="290"/>
      <c r="E58" s="290"/>
      <c r="F58" s="126"/>
      <c r="G58" s="293"/>
      <c r="H58" s="348">
        <f>SUM(H56:H57)</f>
        <v>2318.726</v>
      </c>
      <c r="I58" s="124"/>
    </row>
    <row r="59" spans="1:8" s="292" customFormat="1" ht="11.25" customHeight="1">
      <c r="A59" s="349"/>
      <c r="B59" s="350"/>
      <c r="C59" s="350"/>
      <c r="D59" s="350"/>
      <c r="E59" s="350"/>
      <c r="F59" s="350"/>
      <c r="G59" s="350"/>
      <c r="H59" s="351"/>
    </row>
    <row r="60" spans="1:9" s="70" customFormat="1" ht="11.25" customHeight="1">
      <c r="A60" s="338" t="s">
        <v>156</v>
      </c>
      <c r="B60" s="309" t="s">
        <v>264</v>
      </c>
      <c r="C60" s="314"/>
      <c r="D60" s="677" t="s">
        <v>364</v>
      </c>
      <c r="E60" s="678"/>
      <c r="F60" s="678"/>
      <c r="G60" s="678"/>
      <c r="H60" s="679"/>
      <c r="I60" s="124"/>
    </row>
    <row r="61" spans="1:9" s="70" customFormat="1" ht="11.25" customHeight="1">
      <c r="A61" s="338" t="s">
        <v>157</v>
      </c>
      <c r="B61" s="311"/>
      <c r="C61" s="313"/>
      <c r="D61" s="680"/>
      <c r="E61" s="681"/>
      <c r="F61" s="681"/>
      <c r="G61" s="681"/>
      <c r="H61" s="682"/>
      <c r="I61" s="124"/>
    </row>
    <row r="62" spans="1:9" s="70" customFormat="1" ht="11.25" customHeight="1">
      <c r="A62" s="646" t="s">
        <v>162</v>
      </c>
      <c r="B62" s="647"/>
      <c r="C62" s="287"/>
      <c r="D62" s="657" t="s">
        <v>300</v>
      </c>
      <c r="E62" s="623" t="s">
        <v>165</v>
      </c>
      <c r="F62" s="623" t="s">
        <v>159</v>
      </c>
      <c r="G62" s="575"/>
      <c r="H62" s="650" t="s">
        <v>166</v>
      </c>
      <c r="I62" s="124"/>
    </row>
    <row r="63" spans="1:9" s="70" customFormat="1" ht="11.25">
      <c r="A63" s="648"/>
      <c r="B63" s="649"/>
      <c r="C63" s="288"/>
      <c r="D63" s="658"/>
      <c r="E63" s="624"/>
      <c r="F63" s="624"/>
      <c r="G63" s="576"/>
      <c r="H63" s="651"/>
      <c r="I63" s="129"/>
    </row>
    <row r="64" spans="1:9" s="70" customFormat="1" ht="11.25">
      <c r="A64" s="347" t="s">
        <v>436</v>
      </c>
      <c r="B64" s="127"/>
      <c r="C64" s="125"/>
      <c r="D64" s="126">
        <f>H50</f>
        <v>347.8089</v>
      </c>
      <c r="E64" s="128">
        <v>3.1</v>
      </c>
      <c r="F64" s="126">
        <v>1</v>
      </c>
      <c r="G64" s="126"/>
      <c r="H64" s="339">
        <f>D64*E64*F64</f>
        <v>1078.20759</v>
      </c>
      <c r="I64" s="124"/>
    </row>
    <row r="65" spans="1:9" s="70" customFormat="1" ht="11.25">
      <c r="A65" s="652" t="s">
        <v>51</v>
      </c>
      <c r="B65" s="665"/>
      <c r="C65" s="289"/>
      <c r="D65" s="290"/>
      <c r="E65" s="290"/>
      <c r="F65" s="294"/>
      <c r="G65" s="290"/>
      <c r="H65" s="348">
        <f>SUM(H64:H64)</f>
        <v>1078.20759</v>
      </c>
      <c r="I65" s="124"/>
    </row>
    <row r="66" spans="1:8" s="292" customFormat="1" ht="11.25" customHeight="1">
      <c r="A66" s="349"/>
      <c r="B66" s="350"/>
      <c r="C66" s="350"/>
      <c r="D66" s="350"/>
      <c r="E66" s="350"/>
      <c r="F66" s="350"/>
      <c r="G66" s="350"/>
      <c r="H66" s="351"/>
    </row>
    <row r="67" spans="1:8" s="292" customFormat="1" ht="11.25" customHeight="1">
      <c r="A67" s="349"/>
      <c r="B67" s="350"/>
      <c r="C67" s="350"/>
      <c r="D67" s="350"/>
      <c r="E67" s="350"/>
      <c r="F67" s="350"/>
      <c r="G67" s="350"/>
      <c r="H67" s="351"/>
    </row>
    <row r="68" spans="1:9" s="70" customFormat="1" ht="11.25">
      <c r="A68" s="338" t="s">
        <v>156</v>
      </c>
      <c r="B68" s="309">
        <v>2.4</v>
      </c>
      <c r="C68" s="309"/>
      <c r="D68" s="701" t="s">
        <v>365</v>
      </c>
      <c r="E68" s="701"/>
      <c r="F68" s="701"/>
      <c r="G68" s="701"/>
      <c r="H68" s="702"/>
      <c r="I68" s="124"/>
    </row>
    <row r="69" spans="1:9" s="70" customFormat="1" ht="11.25" customHeight="1">
      <c r="A69" s="338" t="s">
        <v>157</v>
      </c>
      <c r="B69" s="311"/>
      <c r="C69" s="315"/>
      <c r="D69" s="701"/>
      <c r="E69" s="701"/>
      <c r="F69" s="701"/>
      <c r="G69" s="701"/>
      <c r="H69" s="702"/>
      <c r="I69" s="124"/>
    </row>
    <row r="70" spans="1:9" s="70" customFormat="1" ht="11.25">
      <c r="A70" s="684" t="s">
        <v>162</v>
      </c>
      <c r="B70" s="685"/>
      <c r="C70" s="287"/>
      <c r="D70" s="686" t="s">
        <v>300</v>
      </c>
      <c r="E70" s="683" t="s">
        <v>165</v>
      </c>
      <c r="F70" s="623" t="s">
        <v>159</v>
      </c>
      <c r="G70" s="691"/>
      <c r="H70" s="700" t="s">
        <v>166</v>
      </c>
      <c r="I70" s="124"/>
    </row>
    <row r="71" spans="1:9" s="70" customFormat="1" ht="11.25">
      <c r="A71" s="684"/>
      <c r="B71" s="685"/>
      <c r="C71" s="288"/>
      <c r="D71" s="686"/>
      <c r="E71" s="683"/>
      <c r="F71" s="624"/>
      <c r="G71" s="691"/>
      <c r="H71" s="700"/>
      <c r="I71" s="129"/>
    </row>
    <row r="72" spans="1:9" s="70" customFormat="1" ht="11.25">
      <c r="A72" s="621" t="str">
        <f>A64</f>
        <v>TODAS AS RUAS</v>
      </c>
      <c r="B72" s="622"/>
      <c r="C72" s="306"/>
      <c r="D72" s="126">
        <f>H50</f>
        <v>347.8089</v>
      </c>
      <c r="E72" s="128">
        <v>16.8</v>
      </c>
      <c r="F72" s="126">
        <v>1</v>
      </c>
      <c r="G72" s="126"/>
      <c r="H72" s="339">
        <f>D72*E72*F72</f>
        <v>5843.18952</v>
      </c>
      <c r="I72" s="124"/>
    </row>
    <row r="73" spans="1:9" s="70" customFormat="1" ht="11.25">
      <c r="A73" s="684" t="s">
        <v>51</v>
      </c>
      <c r="B73" s="685"/>
      <c r="C73" s="305"/>
      <c r="D73" s="290"/>
      <c r="E73" s="290"/>
      <c r="F73" s="294"/>
      <c r="G73" s="290"/>
      <c r="H73" s="348">
        <f>SUM(H72:H72)</f>
        <v>5843.18952</v>
      </c>
      <c r="I73" s="124"/>
    </row>
    <row r="74" spans="1:8" s="292" customFormat="1" ht="11.25" customHeight="1">
      <c r="A74" s="349"/>
      <c r="B74" s="350"/>
      <c r="C74" s="350"/>
      <c r="D74" s="350"/>
      <c r="E74" s="350"/>
      <c r="F74" s="350"/>
      <c r="G74" s="350"/>
      <c r="H74" s="351"/>
    </row>
    <row r="75" spans="1:9" s="70" customFormat="1" ht="12">
      <c r="A75" s="637" t="s">
        <v>369</v>
      </c>
      <c r="B75" s="638"/>
      <c r="C75" s="638"/>
      <c r="D75" s="638"/>
      <c r="E75" s="638"/>
      <c r="F75" s="638"/>
      <c r="G75" s="638"/>
      <c r="H75" s="639"/>
      <c r="I75" s="124"/>
    </row>
    <row r="76" spans="1:9" s="70" customFormat="1" ht="12.75" customHeight="1">
      <c r="A76" s="338" t="s">
        <v>156</v>
      </c>
      <c r="B76" s="309" t="s">
        <v>266</v>
      </c>
      <c r="C76" s="314"/>
      <c r="D76" s="666" t="s">
        <v>409</v>
      </c>
      <c r="E76" s="641"/>
      <c r="F76" s="641"/>
      <c r="G76" s="641"/>
      <c r="H76" s="642"/>
      <c r="I76" s="124"/>
    </row>
    <row r="77" spans="1:9" s="70" customFormat="1" ht="31.5" customHeight="1">
      <c r="A77" s="338" t="s">
        <v>157</v>
      </c>
      <c r="B77" s="311"/>
      <c r="C77" s="313"/>
      <c r="D77" s="643"/>
      <c r="E77" s="644"/>
      <c r="F77" s="644"/>
      <c r="G77" s="644"/>
      <c r="H77" s="645"/>
      <c r="I77" s="124"/>
    </row>
    <row r="78" spans="1:9" s="70" customFormat="1" ht="11.25" customHeight="1">
      <c r="A78" s="646" t="s">
        <v>162</v>
      </c>
      <c r="B78" s="647"/>
      <c r="C78" s="663"/>
      <c r="D78" s="623" t="s">
        <v>160</v>
      </c>
      <c r="E78" s="657" t="s">
        <v>370</v>
      </c>
      <c r="F78" s="623" t="s">
        <v>435</v>
      </c>
      <c r="G78" s="623" t="s">
        <v>159</v>
      </c>
      <c r="H78" s="650" t="s">
        <v>164</v>
      </c>
      <c r="I78" s="124"/>
    </row>
    <row r="79" spans="1:9" s="70" customFormat="1" ht="4.5" customHeight="1">
      <c r="A79" s="648"/>
      <c r="B79" s="649"/>
      <c r="C79" s="664"/>
      <c r="D79" s="624"/>
      <c r="E79" s="658"/>
      <c r="F79" s="624"/>
      <c r="G79" s="624"/>
      <c r="H79" s="651"/>
      <c r="I79" s="124"/>
    </row>
    <row r="80" spans="1:9" s="70" customFormat="1" ht="11.25">
      <c r="A80" s="347" t="str">
        <f>A56</f>
        <v>RUA GERÔNIMO BISPO</v>
      </c>
      <c r="B80" s="127"/>
      <c r="C80" s="125"/>
      <c r="D80" s="126">
        <f>D56</f>
        <v>177.48</v>
      </c>
      <c r="E80" s="126">
        <v>6</v>
      </c>
      <c r="F80" s="126">
        <v>0.15</v>
      </c>
      <c r="G80" s="126">
        <v>1</v>
      </c>
      <c r="H80" s="339">
        <f>D80*E80*F80*G80</f>
        <v>159.73199999999997</v>
      </c>
      <c r="I80" s="124"/>
    </row>
    <row r="81" spans="1:9" s="70" customFormat="1" ht="11.25">
      <c r="A81" s="347" t="str">
        <f>A57</f>
        <v>RUA SALTIN VALADARES</v>
      </c>
      <c r="B81" s="127"/>
      <c r="C81" s="125"/>
      <c r="D81" s="126">
        <f>D57</f>
        <v>176.47</v>
      </c>
      <c r="E81" s="126">
        <v>5.3</v>
      </c>
      <c r="F81" s="126">
        <v>0.15</v>
      </c>
      <c r="G81" s="126">
        <v>1</v>
      </c>
      <c r="H81" s="339">
        <f>D81*E81*F81*G81</f>
        <v>140.29364999999999</v>
      </c>
      <c r="I81" s="124"/>
    </row>
    <row r="82" spans="1:9" s="70" customFormat="1" ht="11.25">
      <c r="A82" s="652" t="s">
        <v>51</v>
      </c>
      <c r="B82" s="665"/>
      <c r="C82" s="125"/>
      <c r="D82" s="126"/>
      <c r="E82" s="126"/>
      <c r="F82" s="126"/>
      <c r="G82" s="126"/>
      <c r="H82" s="403">
        <f>SUM(H80:H81)</f>
        <v>300.0256499999999</v>
      </c>
      <c r="I82" s="124"/>
    </row>
    <row r="83" spans="1:9" s="70" customFormat="1" ht="11.25">
      <c r="A83" s="347"/>
      <c r="B83" s="127"/>
      <c r="C83" s="125"/>
      <c r="D83" s="126"/>
      <c r="E83" s="126"/>
      <c r="F83" s="126"/>
      <c r="G83" s="126"/>
      <c r="H83" s="339"/>
      <c r="I83" s="124"/>
    </row>
    <row r="84" spans="1:9" s="70" customFormat="1" ht="12.75" customHeight="1">
      <c r="A84" s="338" t="s">
        <v>156</v>
      </c>
      <c r="B84" s="404">
        <v>3.2</v>
      </c>
      <c r="C84" s="314"/>
      <c r="D84" s="666" t="s">
        <v>404</v>
      </c>
      <c r="E84" s="641"/>
      <c r="F84" s="641"/>
      <c r="G84" s="641"/>
      <c r="H84" s="642"/>
      <c r="I84" s="124"/>
    </row>
    <row r="85" spans="1:9" s="70" customFormat="1" ht="21" customHeight="1">
      <c r="A85" s="338" t="s">
        <v>157</v>
      </c>
      <c r="B85" s="311"/>
      <c r="C85" s="313"/>
      <c r="D85" s="643"/>
      <c r="E85" s="644"/>
      <c r="F85" s="644"/>
      <c r="G85" s="644"/>
      <c r="H85" s="645"/>
      <c r="I85" s="124"/>
    </row>
    <row r="86" spans="1:9" s="70" customFormat="1" ht="11.25" customHeight="1">
      <c r="A86" s="646" t="s">
        <v>162</v>
      </c>
      <c r="B86" s="647"/>
      <c r="C86" s="663"/>
      <c r="D86" s="623" t="s">
        <v>160</v>
      </c>
      <c r="E86" s="657" t="s">
        <v>370</v>
      </c>
      <c r="F86" s="623" t="s">
        <v>159</v>
      </c>
      <c r="G86" s="659"/>
      <c r="H86" s="650" t="s">
        <v>163</v>
      </c>
      <c r="I86" s="124"/>
    </row>
    <row r="87" spans="1:9" s="70" customFormat="1" ht="4.5" customHeight="1">
      <c r="A87" s="648"/>
      <c r="B87" s="649"/>
      <c r="C87" s="664"/>
      <c r="D87" s="624"/>
      <c r="E87" s="658"/>
      <c r="F87" s="624"/>
      <c r="G87" s="660"/>
      <c r="H87" s="651"/>
      <c r="I87" s="124"/>
    </row>
    <row r="88" spans="1:9" s="70" customFormat="1" ht="11.25">
      <c r="A88" s="347" t="str">
        <f>A80</f>
        <v>RUA GERÔNIMO BISPO</v>
      </c>
      <c r="B88" s="127"/>
      <c r="C88" s="125"/>
      <c r="D88" s="126">
        <f>D80</f>
        <v>177.48</v>
      </c>
      <c r="E88" s="126">
        <f>E80</f>
        <v>6</v>
      </c>
      <c r="F88" s="126">
        <v>1</v>
      </c>
      <c r="G88" s="126"/>
      <c r="H88" s="339">
        <f>D88*E88*F88</f>
        <v>1064.8799999999999</v>
      </c>
      <c r="I88" s="124"/>
    </row>
    <row r="89" spans="1:9" s="70" customFormat="1" ht="11.25">
      <c r="A89" s="347" t="str">
        <f>A81</f>
        <v>RUA SALTIN VALADARES</v>
      </c>
      <c r="B89" s="127"/>
      <c r="C89" s="125"/>
      <c r="D89" s="126">
        <f>D81</f>
        <v>176.47</v>
      </c>
      <c r="E89" s="126">
        <f>E81</f>
        <v>5.3</v>
      </c>
      <c r="F89" s="126">
        <v>1</v>
      </c>
      <c r="G89" s="126"/>
      <c r="H89" s="339">
        <f>D89*E89*F89</f>
        <v>935.2909999999999</v>
      </c>
      <c r="I89" s="124"/>
    </row>
    <row r="90" spans="1:9" s="70" customFormat="1" ht="11.25">
      <c r="A90" s="661" t="str">
        <f>A82</f>
        <v>TOTAL</v>
      </c>
      <c r="B90" s="662"/>
      <c r="C90" s="125"/>
      <c r="D90" s="126"/>
      <c r="E90" s="126"/>
      <c r="F90" s="126"/>
      <c r="G90" s="126"/>
      <c r="H90" s="403">
        <f>SUM(H88:H89)</f>
        <v>2000.1709999999998</v>
      </c>
      <c r="I90" s="124"/>
    </row>
    <row r="91" spans="1:8" s="292" customFormat="1" ht="11.25" customHeight="1">
      <c r="A91" s="349"/>
      <c r="B91" s="350"/>
      <c r="C91" s="350"/>
      <c r="D91" s="350"/>
      <c r="E91" s="350"/>
      <c r="F91" s="350"/>
      <c r="G91" s="350"/>
      <c r="H91" s="351"/>
    </row>
    <row r="92" spans="1:9" s="70" customFormat="1" ht="12">
      <c r="A92" s="637" t="s">
        <v>308</v>
      </c>
      <c r="B92" s="638"/>
      <c r="C92" s="638"/>
      <c r="D92" s="638"/>
      <c r="E92" s="638"/>
      <c r="F92" s="638"/>
      <c r="G92" s="638"/>
      <c r="H92" s="639"/>
      <c r="I92" s="124"/>
    </row>
    <row r="93" spans="1:9" s="70" customFormat="1" ht="11.25" customHeight="1">
      <c r="A93" s="338" t="s">
        <v>156</v>
      </c>
      <c r="B93" s="309" t="s">
        <v>275</v>
      </c>
      <c r="C93" s="314"/>
      <c r="D93" s="640" t="s">
        <v>405</v>
      </c>
      <c r="E93" s="641"/>
      <c r="F93" s="641"/>
      <c r="G93" s="641"/>
      <c r="H93" s="642"/>
      <c r="I93" s="132"/>
    </row>
    <row r="94" spans="1:9" s="70" customFormat="1" ht="23.25" customHeight="1">
      <c r="A94" s="338" t="s">
        <v>157</v>
      </c>
      <c r="B94" s="311"/>
      <c r="C94" s="313"/>
      <c r="D94" s="643"/>
      <c r="E94" s="644"/>
      <c r="F94" s="644"/>
      <c r="G94" s="644"/>
      <c r="H94" s="645"/>
      <c r="I94" s="687" t="s">
        <v>167</v>
      </c>
    </row>
    <row r="95" spans="1:9" s="70" customFormat="1" ht="11.25">
      <c r="A95" s="646" t="s">
        <v>162</v>
      </c>
      <c r="B95" s="647"/>
      <c r="C95" s="295"/>
      <c r="D95" s="623" t="s">
        <v>160</v>
      </c>
      <c r="E95" s="689" t="s">
        <v>159</v>
      </c>
      <c r="F95" s="588"/>
      <c r="G95" s="659"/>
      <c r="H95" s="692" t="s">
        <v>169</v>
      </c>
      <c r="I95" s="688"/>
    </row>
    <row r="96" spans="1:9" s="70" customFormat="1" ht="0.75" customHeight="1">
      <c r="A96" s="648"/>
      <c r="B96" s="649"/>
      <c r="C96" s="295" t="s">
        <v>444</v>
      </c>
      <c r="D96" s="624"/>
      <c r="E96" s="690"/>
      <c r="F96" s="589"/>
      <c r="G96" s="660"/>
      <c r="H96" s="693"/>
      <c r="I96" s="130">
        <v>0</v>
      </c>
    </row>
    <row r="97" spans="1:9" s="212" customFormat="1" ht="11.25">
      <c r="A97" s="347" t="str">
        <f>A80</f>
        <v>RUA GERÔNIMO BISPO</v>
      </c>
      <c r="B97" s="127"/>
      <c r="C97" s="295" t="s">
        <v>453</v>
      </c>
      <c r="D97" s="126">
        <f>123.97+46.92</f>
        <v>170.89</v>
      </c>
      <c r="E97" s="213">
        <v>2</v>
      </c>
      <c r="F97" s="213"/>
      <c r="G97" s="214"/>
      <c r="H97" s="352">
        <f>D97*E97</f>
        <v>341.78</v>
      </c>
      <c r="I97" s="132"/>
    </row>
    <row r="98" spans="1:9" s="212" customFormat="1" ht="11.25">
      <c r="A98" s="347" t="str">
        <f>A81</f>
        <v>RUA SALTIN VALADARES</v>
      </c>
      <c r="B98" s="127"/>
      <c r="C98" s="125" t="s">
        <v>454</v>
      </c>
      <c r="D98" s="126">
        <f>48.84+118.66</f>
        <v>167.5</v>
      </c>
      <c r="E98" s="213">
        <v>2</v>
      </c>
      <c r="F98" s="213"/>
      <c r="G98" s="214"/>
      <c r="H98" s="352">
        <f>D98*E98</f>
        <v>335</v>
      </c>
      <c r="I98" s="132"/>
    </row>
    <row r="99" spans="1:9" s="70" customFormat="1" ht="11.25">
      <c r="A99" s="652" t="s">
        <v>51</v>
      </c>
      <c r="B99" s="665"/>
      <c r="C99" s="289"/>
      <c r="D99" s="214"/>
      <c r="E99" s="291"/>
      <c r="F99" s="291"/>
      <c r="G99" s="290"/>
      <c r="H99" s="348">
        <f>SUM(H97:H98)</f>
        <v>676.78</v>
      </c>
      <c r="I99" s="131" t="e">
        <f>ROUND(#REF!*#REF!,2)</f>
        <v>#REF!</v>
      </c>
    </row>
    <row r="100" spans="1:8" s="292" customFormat="1" ht="11.25" customHeight="1">
      <c r="A100" s="349"/>
      <c r="B100" s="350"/>
      <c r="C100" s="350"/>
      <c r="D100" s="350"/>
      <c r="E100" s="350"/>
      <c r="F100" s="350"/>
      <c r="G100" s="350"/>
      <c r="H100" s="351"/>
    </row>
    <row r="101" spans="1:9" s="70" customFormat="1" ht="12">
      <c r="A101" s="637" t="s">
        <v>441</v>
      </c>
      <c r="B101" s="638"/>
      <c r="C101" s="638"/>
      <c r="D101" s="638"/>
      <c r="E101" s="638"/>
      <c r="F101" s="638"/>
      <c r="G101" s="638"/>
      <c r="H101" s="639"/>
      <c r="I101" s="124"/>
    </row>
    <row r="102" spans="1:9" s="70" customFormat="1" ht="11.25" customHeight="1">
      <c r="A102" s="338" t="s">
        <v>156</v>
      </c>
      <c r="B102" s="309" t="s">
        <v>275</v>
      </c>
      <c r="C102" s="314"/>
      <c r="D102" s="640" t="s">
        <v>443</v>
      </c>
      <c r="E102" s="641"/>
      <c r="F102" s="641"/>
      <c r="G102" s="641"/>
      <c r="H102" s="642"/>
      <c r="I102" s="132"/>
    </row>
    <row r="103" spans="1:9" s="70" customFormat="1" ht="46.5" customHeight="1">
      <c r="A103" s="338" t="s">
        <v>157</v>
      </c>
      <c r="B103" s="311"/>
      <c r="C103" s="313"/>
      <c r="D103" s="643"/>
      <c r="E103" s="644"/>
      <c r="F103" s="644"/>
      <c r="G103" s="644"/>
      <c r="H103" s="645"/>
      <c r="I103" s="687" t="s">
        <v>167</v>
      </c>
    </row>
    <row r="104" spans="1:9" s="70" customFormat="1" ht="11.25">
      <c r="A104" s="646" t="s">
        <v>162</v>
      </c>
      <c r="B104" s="647"/>
      <c r="C104" s="287"/>
      <c r="D104" s="623" t="s">
        <v>160</v>
      </c>
      <c r="E104" s="689" t="s">
        <v>159</v>
      </c>
      <c r="F104" s="588"/>
      <c r="G104" s="659"/>
      <c r="H104" s="692" t="s">
        <v>169</v>
      </c>
      <c r="I104" s="688"/>
    </row>
    <row r="105" spans="1:9" s="70" customFormat="1" ht="0.75" customHeight="1">
      <c r="A105" s="648"/>
      <c r="B105" s="649"/>
      <c r="C105" s="288"/>
      <c r="D105" s="624"/>
      <c r="E105" s="690"/>
      <c r="F105" s="589"/>
      <c r="G105" s="660"/>
      <c r="H105" s="693"/>
      <c r="I105" s="130">
        <v>0</v>
      </c>
    </row>
    <row r="106" spans="1:9" s="212" customFormat="1" ht="33.75">
      <c r="A106" s="420" t="str">
        <f>A89</f>
        <v>RUA SALTIN VALADARES</v>
      </c>
      <c r="B106" s="127"/>
      <c r="C106" s="419" t="s">
        <v>445</v>
      </c>
      <c r="D106" s="126">
        <f>7.26+10.42+6.29+7.28+6.83+7.33+7.28+8.42</f>
        <v>61.11</v>
      </c>
      <c r="E106" s="213">
        <v>1</v>
      </c>
      <c r="F106" s="213"/>
      <c r="G106" s="214"/>
      <c r="H106" s="352">
        <f>D106*E106</f>
        <v>61.11</v>
      </c>
      <c r="I106" s="132"/>
    </row>
    <row r="107" spans="1:9" s="212" customFormat="1" ht="11.25">
      <c r="A107" s="347" t="str">
        <f>A97</f>
        <v>RUA GERÔNIMO BISPO</v>
      </c>
      <c r="B107" s="127"/>
      <c r="C107" s="125" t="s">
        <v>455</v>
      </c>
      <c r="D107" s="126">
        <f>7.61+7.37+8</f>
        <v>22.98</v>
      </c>
      <c r="E107" s="213">
        <v>1</v>
      </c>
      <c r="F107" s="213"/>
      <c r="G107" s="214"/>
      <c r="H107" s="352">
        <f>D107*E107</f>
        <v>22.98</v>
      </c>
      <c r="I107" s="132"/>
    </row>
    <row r="108" spans="1:9" s="70" customFormat="1" ht="11.25">
      <c r="A108" s="652" t="s">
        <v>51</v>
      </c>
      <c r="B108" s="665"/>
      <c r="C108" s="289"/>
      <c r="D108" s="214"/>
      <c r="E108" s="291"/>
      <c r="F108" s="291"/>
      <c r="G108" s="290"/>
      <c r="H108" s="348">
        <f>SUM(H106:H107)</f>
        <v>84.09</v>
      </c>
      <c r="I108" s="131" t="e">
        <f>ROUND(#REF!*#REF!,2)</f>
        <v>#REF!</v>
      </c>
    </row>
    <row r="109" spans="1:8" ht="12.75">
      <c r="A109" s="353"/>
      <c r="B109" s="282"/>
      <c r="C109" s="282"/>
      <c r="D109" s="282"/>
      <c r="E109" s="282"/>
      <c r="F109" s="282"/>
      <c r="G109" s="282"/>
      <c r="H109" s="354"/>
    </row>
    <row r="110" spans="1:8" ht="12.75">
      <c r="A110" s="353"/>
      <c r="B110" s="282"/>
      <c r="C110" s="282"/>
      <c r="D110" s="282"/>
      <c r="E110" s="282"/>
      <c r="F110" s="282"/>
      <c r="G110" s="282"/>
      <c r="H110" s="354"/>
    </row>
    <row r="111" spans="1:8" ht="12.75">
      <c r="A111" s="353"/>
      <c r="B111" s="282"/>
      <c r="C111" s="282"/>
      <c r="D111" s="282"/>
      <c r="E111" s="282"/>
      <c r="F111" s="282"/>
      <c r="G111" s="282"/>
      <c r="H111" s="354"/>
    </row>
    <row r="112" spans="1:8" ht="12.75">
      <c r="A112" s="353"/>
      <c r="B112" s="282"/>
      <c r="C112" s="282"/>
      <c r="D112" s="282"/>
      <c r="E112" s="282"/>
      <c r="F112" s="282"/>
      <c r="G112" s="282"/>
      <c r="H112" s="354"/>
    </row>
    <row r="113" spans="1:8" ht="12.75">
      <c r="A113" s="353"/>
      <c r="B113" s="282"/>
      <c r="C113" s="282"/>
      <c r="D113" s="282"/>
      <c r="E113" s="282"/>
      <c r="F113" s="282"/>
      <c r="G113" s="282"/>
      <c r="H113" s="354"/>
    </row>
    <row r="114" spans="1:8" ht="12.75">
      <c r="A114" s="355"/>
      <c r="B114" s="216"/>
      <c r="C114" s="216"/>
      <c r="D114" s="216"/>
      <c r="E114" s="216"/>
      <c r="F114" s="216"/>
      <c r="G114" s="216"/>
      <c r="H114" s="331"/>
    </row>
    <row r="115" spans="1:8" ht="12.75">
      <c r="A115" s="356"/>
      <c r="B115" s="564" t="s">
        <v>396</v>
      </c>
      <c r="C115" s="564"/>
      <c r="D115" s="564"/>
      <c r="E115" s="564"/>
      <c r="F115" s="564"/>
      <c r="G115" s="357"/>
      <c r="H115" s="358"/>
    </row>
    <row r="116" spans="1:8" ht="12.75">
      <c r="A116" s="359"/>
      <c r="B116" s="567" t="s">
        <v>397</v>
      </c>
      <c r="C116" s="567"/>
      <c r="D116" s="567"/>
      <c r="E116" s="567"/>
      <c r="F116" s="567"/>
      <c r="G116" s="215"/>
      <c r="H116" s="358"/>
    </row>
    <row r="117" spans="1:8" ht="12.75">
      <c r="A117" s="359"/>
      <c r="B117" s="217"/>
      <c r="C117" s="217"/>
      <c r="D117" s="217"/>
      <c r="E117" s="217"/>
      <c r="F117" s="217"/>
      <c r="G117" s="215"/>
      <c r="H117" s="358"/>
    </row>
    <row r="118" spans="1:8" ht="12.75">
      <c r="A118" s="360"/>
      <c r="B118" s="562"/>
      <c r="C118" s="562"/>
      <c r="D118" s="562"/>
      <c r="E118" s="562"/>
      <c r="F118" s="562"/>
      <c r="G118" s="218"/>
      <c r="H118" s="358"/>
    </row>
    <row r="119" spans="1:8" ht="12.75">
      <c r="A119" s="356"/>
      <c r="B119" s="564" t="s">
        <v>398</v>
      </c>
      <c r="C119" s="564"/>
      <c r="D119" s="564"/>
      <c r="E119" s="564"/>
      <c r="F119" s="564"/>
      <c r="G119" s="357"/>
      <c r="H119" s="358"/>
    </row>
    <row r="120" spans="1:8" ht="12.75">
      <c r="A120" s="359"/>
      <c r="B120" s="567" t="s">
        <v>250</v>
      </c>
      <c r="C120" s="567"/>
      <c r="D120" s="567"/>
      <c r="E120" s="567"/>
      <c r="F120" s="567"/>
      <c r="G120" s="215"/>
      <c r="H120" s="358"/>
    </row>
    <row r="121" spans="1:8" ht="12.75">
      <c r="A121" s="353"/>
      <c r="B121" s="282"/>
      <c r="C121" s="282"/>
      <c r="D121" s="282"/>
      <c r="E121" s="282"/>
      <c r="F121" s="282"/>
      <c r="G121" s="282"/>
      <c r="H121" s="354"/>
    </row>
    <row r="122" spans="1:8" ht="13.5" thickBot="1">
      <c r="A122" s="361"/>
      <c r="B122" s="362"/>
      <c r="C122" s="362"/>
      <c r="D122" s="362"/>
      <c r="E122" s="362"/>
      <c r="F122" s="362"/>
      <c r="G122" s="362"/>
      <c r="H122" s="363"/>
    </row>
  </sheetData>
  <sheetProtection/>
  <mergeCells count="123">
    <mergeCell ref="A41:H41"/>
    <mergeCell ref="D35:H36"/>
    <mergeCell ref="A37:B38"/>
    <mergeCell ref="D37:D38"/>
    <mergeCell ref="E37:E38"/>
    <mergeCell ref="F37:F38"/>
    <mergeCell ref="G37:G38"/>
    <mergeCell ref="H37:H38"/>
    <mergeCell ref="H104:H105"/>
    <mergeCell ref="A108:B108"/>
    <mergeCell ref="D29:H30"/>
    <mergeCell ref="A31:B32"/>
    <mergeCell ref="D31:D32"/>
    <mergeCell ref="E31:E32"/>
    <mergeCell ref="F31:F32"/>
    <mergeCell ref="G31:G32"/>
    <mergeCell ref="H31:H32"/>
    <mergeCell ref="A33:B33"/>
    <mergeCell ref="H70:H71"/>
    <mergeCell ref="D68:H69"/>
    <mergeCell ref="A101:H101"/>
    <mergeCell ref="D102:H103"/>
    <mergeCell ref="I103:I104"/>
    <mergeCell ref="A104:B105"/>
    <mergeCell ref="D104:D105"/>
    <mergeCell ref="E104:E105"/>
    <mergeCell ref="F104:F105"/>
    <mergeCell ref="G104:G105"/>
    <mergeCell ref="D52:H53"/>
    <mergeCell ref="A54:B55"/>
    <mergeCell ref="D54:D55"/>
    <mergeCell ref="E54:E55"/>
    <mergeCell ref="D62:D63"/>
    <mergeCell ref="A58:B58"/>
    <mergeCell ref="F70:F71"/>
    <mergeCell ref="G70:G71"/>
    <mergeCell ref="H95:H96"/>
    <mergeCell ref="B120:F120"/>
    <mergeCell ref="F95:F96"/>
    <mergeCell ref="G95:G96"/>
    <mergeCell ref="D93:H94"/>
    <mergeCell ref="B116:F116"/>
    <mergeCell ref="A73:B73"/>
    <mergeCell ref="A78:B79"/>
    <mergeCell ref="B118:F118"/>
    <mergeCell ref="B119:F119"/>
    <mergeCell ref="A99:B99"/>
    <mergeCell ref="B115:F115"/>
    <mergeCell ref="D78:D79"/>
    <mergeCell ref="F78:F79"/>
    <mergeCell ref="A82:B82"/>
    <mergeCell ref="F86:F87"/>
    <mergeCell ref="C78:C79"/>
    <mergeCell ref="A70:B71"/>
    <mergeCell ref="D70:D71"/>
    <mergeCell ref="I94:I95"/>
    <mergeCell ref="A95:B96"/>
    <mergeCell ref="D95:D96"/>
    <mergeCell ref="E95:E96"/>
    <mergeCell ref="A92:H92"/>
    <mergeCell ref="H78:H79"/>
    <mergeCell ref="D86:D87"/>
    <mergeCell ref="E86:E87"/>
    <mergeCell ref="H86:H87"/>
    <mergeCell ref="G24:G25"/>
    <mergeCell ref="H24:H25"/>
    <mergeCell ref="F54:F55"/>
    <mergeCell ref="G54:G55"/>
    <mergeCell ref="H54:H55"/>
    <mergeCell ref="D60:H61"/>
    <mergeCell ref="E62:E63"/>
    <mergeCell ref="D76:H77"/>
    <mergeCell ref="E70:E71"/>
    <mergeCell ref="A50:B50"/>
    <mergeCell ref="F24:F25"/>
    <mergeCell ref="D46:D47"/>
    <mergeCell ref="D22:H23"/>
    <mergeCell ref="A24:B25"/>
    <mergeCell ref="D24:D25"/>
    <mergeCell ref="H46:H47"/>
    <mergeCell ref="A34:B34"/>
    <mergeCell ref="A39:B39"/>
    <mergeCell ref="A40:B40"/>
    <mergeCell ref="A65:B65"/>
    <mergeCell ref="D84:H85"/>
    <mergeCell ref="A16:B17"/>
    <mergeCell ref="D16:D17"/>
    <mergeCell ref="E16:E17"/>
    <mergeCell ref="F16:F17"/>
    <mergeCell ref="H16:H17"/>
    <mergeCell ref="A19:B19"/>
    <mergeCell ref="A28:B28"/>
    <mergeCell ref="A62:B63"/>
    <mergeCell ref="G86:G87"/>
    <mergeCell ref="A90:B90"/>
    <mergeCell ref="E46:E47"/>
    <mergeCell ref="G78:G79"/>
    <mergeCell ref="A86:B87"/>
    <mergeCell ref="C86:C87"/>
    <mergeCell ref="E78:E79"/>
    <mergeCell ref="A75:H75"/>
    <mergeCell ref="F46:F47"/>
    <mergeCell ref="G46:G47"/>
    <mergeCell ref="A12:F12"/>
    <mergeCell ref="A13:H13"/>
    <mergeCell ref="D44:H45"/>
    <mergeCell ref="A46:B47"/>
    <mergeCell ref="G62:G63"/>
    <mergeCell ref="H62:H63"/>
    <mergeCell ref="A42:H42"/>
    <mergeCell ref="A43:H43"/>
    <mergeCell ref="C14:C15"/>
    <mergeCell ref="E24:E25"/>
    <mergeCell ref="A5:C8"/>
    <mergeCell ref="A11:H11"/>
    <mergeCell ref="D5:H8"/>
    <mergeCell ref="A72:B72"/>
    <mergeCell ref="F62:F63"/>
    <mergeCell ref="A9:H9"/>
    <mergeCell ref="B10:H10"/>
    <mergeCell ref="D14:H15"/>
    <mergeCell ref="G16:G17"/>
    <mergeCell ref="A18:B18"/>
  </mergeCells>
  <printOptions horizontalCentered="1"/>
  <pageMargins left="0.3937007874015748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2"/>
  <rowBreaks count="1" manualBreakCount="1">
    <brk id="8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workbookViewId="0" topLeftCell="A4">
      <selection activeCell="K16" sqref="K16"/>
    </sheetView>
  </sheetViews>
  <sheetFormatPr defaultColWidth="9.140625" defaultRowHeight="12.75"/>
  <cols>
    <col min="1" max="1" width="5.421875" style="396" customWidth="1"/>
    <col min="2" max="2" width="32.28125" style="316" customWidth="1"/>
    <col min="3" max="3" width="15.421875" style="316" customWidth="1"/>
    <col min="4" max="7" width="14.57421875" style="316" bestFit="1" customWidth="1"/>
    <col min="8" max="8" width="12.28125" style="316" bestFit="1" customWidth="1"/>
    <col min="9" max="9" width="12.8515625" style="316" customWidth="1"/>
    <col min="10" max="10" width="10.8515625" style="316" customWidth="1"/>
    <col min="11" max="11" width="11.00390625" style="316" customWidth="1"/>
    <col min="12" max="12" width="11.7109375" style="316" customWidth="1"/>
    <col min="13" max="16384" width="9.140625" style="316" customWidth="1"/>
  </cols>
  <sheetData>
    <row r="1" spans="1:7" s="410" customFormat="1" ht="26.25">
      <c r="A1" s="705" t="s">
        <v>315</v>
      </c>
      <c r="B1" s="705"/>
      <c r="C1" s="705"/>
      <c r="D1" s="705"/>
      <c r="E1" s="705"/>
      <c r="F1" s="705"/>
      <c r="G1" s="705"/>
    </row>
    <row r="2" spans="1:7" ht="17.25" customHeight="1">
      <c r="A2" s="706" t="s">
        <v>371</v>
      </c>
      <c r="B2" s="706"/>
      <c r="C2" s="707" t="s">
        <v>316</v>
      </c>
      <c r="D2" s="708"/>
      <c r="E2" s="709">
        <f>'PLAN ORÇ'!I27</f>
        <v>164797.28000000003</v>
      </c>
      <c r="F2" s="709"/>
      <c r="G2" s="710"/>
    </row>
    <row r="3" spans="1:7" ht="12.75">
      <c r="A3" s="711" t="s">
        <v>434</v>
      </c>
      <c r="B3" s="711"/>
      <c r="C3" s="704" t="s">
        <v>426</v>
      </c>
      <c r="D3" s="704"/>
      <c r="E3" s="704"/>
      <c r="F3" s="704"/>
      <c r="G3" s="704"/>
    </row>
    <row r="4" spans="1:7" ht="26.25" customHeight="1">
      <c r="A4" s="711"/>
      <c r="B4" s="711"/>
      <c r="C4" s="704"/>
      <c r="D4" s="704"/>
      <c r="E4" s="704"/>
      <c r="F4" s="704"/>
      <c r="G4" s="704"/>
    </row>
    <row r="5" spans="1:7" ht="27.75" customHeight="1">
      <c r="A5" s="236" t="s">
        <v>3</v>
      </c>
      <c r="B5" s="236" t="s">
        <v>317</v>
      </c>
      <c r="C5" s="236" t="s">
        <v>318</v>
      </c>
      <c r="D5" s="236" t="s">
        <v>319</v>
      </c>
      <c r="E5" s="236" t="s">
        <v>320</v>
      </c>
      <c r="F5" s="236" t="s">
        <v>321</v>
      </c>
      <c r="G5" s="236" t="s">
        <v>322</v>
      </c>
    </row>
    <row r="6" spans="1:8" ht="12.75">
      <c r="A6" s="704">
        <v>1</v>
      </c>
      <c r="B6" s="704" t="str">
        <f>'PLAN ORÇ'!B9</f>
        <v>SERVIÇOS PRELIMINARES</v>
      </c>
      <c r="C6" s="237" t="s">
        <v>323</v>
      </c>
      <c r="D6" s="238">
        <f>D7/E2</f>
        <v>0.04062482099219113</v>
      </c>
      <c r="E6" s="239">
        <v>1</v>
      </c>
      <c r="F6" s="239"/>
      <c r="G6" s="239"/>
      <c r="H6" s="411">
        <f>G6+F6+E6</f>
        <v>1</v>
      </c>
    </row>
    <row r="7" spans="1:7" ht="12.75">
      <c r="A7" s="704"/>
      <c r="B7" s="704"/>
      <c r="C7" s="237" t="s">
        <v>324</v>
      </c>
      <c r="D7" s="240">
        <f>'PLAN ORÇ'!I9</f>
        <v>6694.860000000001</v>
      </c>
      <c r="E7" s="241">
        <f>D7*E6</f>
        <v>6694.860000000001</v>
      </c>
      <c r="F7" s="241">
        <f>D7*F6</f>
        <v>0</v>
      </c>
      <c r="G7" s="241">
        <f>D7*G6</f>
        <v>0</v>
      </c>
    </row>
    <row r="8" spans="1:8" ht="12.75">
      <c r="A8" s="704">
        <v>2</v>
      </c>
      <c r="B8" s="704" t="str">
        <f>'PLAN ORÇ'!B15</f>
        <v>TERRAPLENAGEM</v>
      </c>
      <c r="C8" s="237" t="s">
        <v>323</v>
      </c>
      <c r="D8" s="238">
        <f>D9/E2</f>
        <v>0.06855908058676695</v>
      </c>
      <c r="E8" s="239">
        <v>1</v>
      </c>
      <c r="F8" s="239"/>
      <c r="G8" s="239"/>
      <c r="H8" s="411">
        <f>G8+F8+E8</f>
        <v>1</v>
      </c>
    </row>
    <row r="9" spans="1:7" ht="12.75">
      <c r="A9" s="704"/>
      <c r="B9" s="704"/>
      <c r="C9" s="237" t="s">
        <v>324</v>
      </c>
      <c r="D9" s="240">
        <f>'PLAN ORÇ'!I15</f>
        <v>11298.349999999999</v>
      </c>
      <c r="E9" s="241">
        <f>D9*E8</f>
        <v>11298.349999999999</v>
      </c>
      <c r="F9" s="241">
        <f>D9*F8</f>
        <v>0</v>
      </c>
      <c r="G9" s="241">
        <f>D9*G8</f>
        <v>0</v>
      </c>
    </row>
    <row r="10" spans="1:8" ht="12.75">
      <c r="A10" s="704">
        <v>3</v>
      </c>
      <c r="B10" s="704" t="str">
        <f>'PLAN ORÇ'!B20</f>
        <v>PAVIMENTAÇÃO EM SEXTAVADO</v>
      </c>
      <c r="C10" s="237" t="s">
        <v>323</v>
      </c>
      <c r="D10" s="238">
        <f>D11/E2</f>
        <v>0.7284723995444584</v>
      </c>
      <c r="E10" s="239">
        <v>0.3</v>
      </c>
      <c r="F10" s="239">
        <v>0.35</v>
      </c>
      <c r="G10" s="239">
        <v>0.35</v>
      </c>
      <c r="H10" s="411">
        <f>G10+F10+E10</f>
        <v>1</v>
      </c>
    </row>
    <row r="11" spans="1:7" ht="12.75">
      <c r="A11" s="704"/>
      <c r="B11" s="704"/>
      <c r="C11" s="237" t="s">
        <v>324</v>
      </c>
      <c r="D11" s="240">
        <f>'PLAN ORÇ'!I20</f>
        <v>120050.27</v>
      </c>
      <c r="E11" s="241">
        <f>D11*E10</f>
        <v>36015.081</v>
      </c>
      <c r="F11" s="241">
        <f>D11*F10</f>
        <v>42017.5945</v>
      </c>
      <c r="G11" s="241">
        <f>D11*G10</f>
        <v>42017.5945</v>
      </c>
    </row>
    <row r="12" spans="1:8" ht="12.75">
      <c r="A12" s="704">
        <v>4</v>
      </c>
      <c r="B12" s="704" t="str">
        <f>'PLAN ORÇ'!B23</f>
        <v>MEIO FIO E DRENAGEM</v>
      </c>
      <c r="C12" s="237" t="s">
        <v>323</v>
      </c>
      <c r="D12" s="238">
        <f>D13/E2</f>
        <v>0.14517333053069806</v>
      </c>
      <c r="E12" s="239">
        <v>0.1</v>
      </c>
      <c r="F12" s="239">
        <v>0.4</v>
      </c>
      <c r="G12" s="239">
        <v>0.5</v>
      </c>
      <c r="H12" s="411">
        <f>G12+F12+E12</f>
        <v>1</v>
      </c>
    </row>
    <row r="13" spans="1:8" ht="12.75">
      <c r="A13" s="704"/>
      <c r="B13" s="704"/>
      <c r="C13" s="237" t="s">
        <v>324</v>
      </c>
      <c r="D13" s="240">
        <f>'PLAN ORÇ'!I23</f>
        <v>23924.17</v>
      </c>
      <c r="E13" s="241">
        <f>D13*E12</f>
        <v>2392.417</v>
      </c>
      <c r="F13" s="241">
        <f>D13*F12</f>
        <v>9569.668</v>
      </c>
      <c r="G13" s="241">
        <f>D13*G12</f>
        <v>11962.085</v>
      </c>
      <c r="H13" s="411"/>
    </row>
    <row r="14" spans="1:8" ht="12.75">
      <c r="A14" s="704">
        <v>5</v>
      </c>
      <c r="B14" s="704" t="str">
        <f>'PLAN ORÇ'!B25</f>
        <v>SERVIÇOS COMPLEMENTARES</v>
      </c>
      <c r="C14" s="237" t="s">
        <v>323</v>
      </c>
      <c r="D14" s="238">
        <f>D15/E2</f>
        <v>0.01717036834588532</v>
      </c>
      <c r="E14" s="239"/>
      <c r="F14" s="239">
        <v>0.5</v>
      </c>
      <c r="G14" s="239">
        <v>0.5</v>
      </c>
      <c r="H14" s="411">
        <f>G14+F14+E14</f>
        <v>1</v>
      </c>
    </row>
    <row r="15" spans="1:8" ht="12.75">
      <c r="A15" s="704"/>
      <c r="B15" s="704"/>
      <c r="C15" s="237" t="s">
        <v>324</v>
      </c>
      <c r="D15" s="240">
        <f>'PLAN ORÇ'!I25</f>
        <v>2829.63</v>
      </c>
      <c r="E15" s="241">
        <f>D15*E14</f>
        <v>0</v>
      </c>
      <c r="F15" s="241">
        <f>D15*F14</f>
        <v>1414.815</v>
      </c>
      <c r="G15" s="241">
        <f>D15*G14</f>
        <v>1414.815</v>
      </c>
      <c r="H15" s="411"/>
    </row>
    <row r="16" spans="1:9" ht="12.75">
      <c r="A16" s="712" t="s">
        <v>51</v>
      </c>
      <c r="B16" s="713"/>
      <c r="C16" s="242" t="s">
        <v>323</v>
      </c>
      <c r="D16" s="243">
        <f>D12+D10+D6+D8+D14</f>
        <v>0.9999999999999999</v>
      </c>
      <c r="E16" s="243">
        <f>(E13+E11+E9+E7)/E2</f>
        <v>0.3422429544953654</v>
      </c>
      <c r="F16" s="243">
        <f>(F13+F11+F9+F7+F15)/E2</f>
        <v>0.3216198562257823</v>
      </c>
      <c r="G16" s="243">
        <f>(G13+G11+G9+G7+G15)/E2</f>
        <v>0.3361371892788521</v>
      </c>
      <c r="H16" s="412">
        <f>E16+F16+G16</f>
        <v>0.9999999999999998</v>
      </c>
      <c r="I16" s="413"/>
    </row>
    <row r="17" spans="1:8" ht="12.75">
      <c r="A17" s="714"/>
      <c r="B17" s="715"/>
      <c r="C17" s="237" t="s">
        <v>324</v>
      </c>
      <c r="D17" s="244">
        <f>'PLAN ORÇ'!I27</f>
        <v>164797.28000000003</v>
      </c>
      <c r="E17" s="241">
        <f>E13+E11+E9+E7</f>
        <v>56400.708</v>
      </c>
      <c r="F17" s="241">
        <f>F13+F11+F9+F7+F15</f>
        <v>53002.0775</v>
      </c>
      <c r="G17" s="241">
        <f>G13+G11+G9+G7+G15</f>
        <v>55394.4945</v>
      </c>
      <c r="H17" s="414">
        <f>SUM(E17:G17)</f>
        <v>164797.28</v>
      </c>
    </row>
    <row r="18" spans="6:12" ht="12.75">
      <c r="F18" s="245"/>
      <c r="G18" s="417"/>
      <c r="H18" s="411"/>
      <c r="I18" s="703"/>
      <c r="J18" s="703"/>
      <c r="K18" s="703"/>
      <c r="L18" s="703"/>
    </row>
    <row r="19" spans="1:7" ht="12.75">
      <c r="A19" s="397"/>
      <c r="B19" s="246"/>
      <c r="C19" s="246"/>
      <c r="D19" s="247"/>
      <c r="E19" s="248"/>
      <c r="G19" s="415"/>
    </row>
    <row r="20" spans="1:7" ht="12.75">
      <c r="A20" s="398"/>
      <c r="B20" s="407"/>
      <c r="C20" s="407"/>
      <c r="D20" s="408"/>
      <c r="E20" s="318"/>
      <c r="G20" s="416"/>
    </row>
    <row r="21" spans="1:7" ht="12.75">
      <c r="A21" s="398"/>
      <c r="B21" s="407"/>
      <c r="C21" s="407"/>
      <c r="D21" s="408"/>
      <c r="E21" s="318"/>
      <c r="G21" s="416"/>
    </row>
    <row r="22" spans="1:7" ht="12.75">
      <c r="A22" s="398"/>
      <c r="B22" s="407"/>
      <c r="C22" s="407"/>
      <c r="D22" s="408"/>
      <c r="E22" s="318"/>
      <c r="G22" s="416"/>
    </row>
    <row r="23" spans="1:7" ht="12.75">
      <c r="A23" s="398"/>
      <c r="B23" s="407"/>
      <c r="C23" s="407"/>
      <c r="D23" s="408"/>
      <c r="E23" s="318"/>
      <c r="G23" s="416"/>
    </row>
    <row r="24" spans="1:7" ht="12.75">
      <c r="A24" s="398"/>
      <c r="B24" s="725"/>
      <c r="C24" s="726"/>
      <c r="E24" s="723"/>
      <c r="F24" s="723"/>
      <c r="G24" s="724"/>
    </row>
    <row r="25" spans="1:7" ht="12.75">
      <c r="A25" s="398"/>
      <c r="B25" s="720" t="s">
        <v>396</v>
      </c>
      <c r="C25" s="727"/>
      <c r="D25" s="317"/>
      <c r="E25" s="720" t="s">
        <v>398</v>
      </c>
      <c r="F25" s="720"/>
      <c r="G25" s="721"/>
    </row>
    <row r="26" spans="1:7" ht="12.75">
      <c r="A26" s="398"/>
      <c r="B26" s="716" t="s">
        <v>397</v>
      </c>
      <c r="C26" s="716"/>
      <c r="D26" s="319"/>
      <c r="E26" s="716" t="s">
        <v>250</v>
      </c>
      <c r="F26" s="716"/>
      <c r="G26" s="722"/>
    </row>
    <row r="27" spans="1:7" ht="12.75">
      <c r="A27" s="398"/>
      <c r="B27" s="716"/>
      <c r="C27" s="717"/>
      <c r="D27" s="717"/>
      <c r="E27" s="318"/>
      <c r="F27" s="320"/>
      <c r="G27" s="416"/>
    </row>
    <row r="28" spans="1:7" s="401" customFormat="1" ht="12.75">
      <c r="A28" s="399"/>
      <c r="B28" s="718"/>
      <c r="C28" s="719"/>
      <c r="D28" s="719"/>
      <c r="E28" s="249"/>
      <c r="F28" s="250"/>
      <c r="G28" s="418"/>
    </row>
    <row r="29" spans="1:7" ht="12.75">
      <c r="A29" s="400"/>
      <c r="B29" s="401"/>
      <c r="C29" s="401"/>
      <c r="D29" s="401"/>
      <c r="E29" s="401"/>
      <c r="F29" s="401"/>
      <c r="G29" s="401"/>
    </row>
  </sheetData>
  <sheetProtection/>
  <mergeCells count="26">
    <mergeCell ref="A16:B17"/>
    <mergeCell ref="B26:C26"/>
    <mergeCell ref="B27:D27"/>
    <mergeCell ref="B28:D28"/>
    <mergeCell ref="E25:G25"/>
    <mergeCell ref="E26:G26"/>
    <mergeCell ref="E24:G24"/>
    <mergeCell ref="B24:C24"/>
    <mergeCell ref="B25:C25"/>
    <mergeCell ref="A1:G1"/>
    <mergeCell ref="A2:B2"/>
    <mergeCell ref="C2:D2"/>
    <mergeCell ref="E2:G2"/>
    <mergeCell ref="A3:B4"/>
    <mergeCell ref="B10:B11"/>
    <mergeCell ref="C3:G4"/>
    <mergeCell ref="I18:L18"/>
    <mergeCell ref="A6:A7"/>
    <mergeCell ref="B6:B7"/>
    <mergeCell ref="A8:A9"/>
    <mergeCell ref="B8:B9"/>
    <mergeCell ref="A10:A11"/>
    <mergeCell ref="A12:A13"/>
    <mergeCell ref="B12:B13"/>
    <mergeCell ref="A14:A15"/>
    <mergeCell ref="B14:B15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8"/>
  <sheetViews>
    <sheetView view="pageBreakPreview" zoomScale="85" zoomScaleNormal="85" zoomScaleSheetLayoutView="85" zoomScalePageLayoutView="0" workbookViewId="0" topLeftCell="A4">
      <selection activeCell="I74" sqref="I74"/>
    </sheetView>
  </sheetViews>
  <sheetFormatPr defaultColWidth="9.140625" defaultRowHeight="12.75"/>
  <cols>
    <col min="1" max="1" width="38.57421875" style="0" customWidth="1"/>
    <col min="2" max="2" width="9.28125" style="0" bestFit="1" customWidth="1"/>
    <col min="3" max="3" width="10.421875" style="0" bestFit="1" customWidth="1"/>
    <col min="4" max="4" width="9.28125" style="0" bestFit="1" customWidth="1"/>
    <col min="6" max="6" width="12.28125" style="0" bestFit="1" customWidth="1"/>
    <col min="7" max="7" width="10.7109375" style="0" customWidth="1"/>
    <col min="8" max="8" width="13.57421875" style="0" bestFit="1" customWidth="1"/>
    <col min="9" max="9" width="15.28125" style="0" customWidth="1"/>
  </cols>
  <sheetData>
    <row r="1" spans="1:9" ht="15.75" customHeight="1">
      <c r="A1" s="253" t="s">
        <v>373</v>
      </c>
      <c r="B1" s="769" t="s">
        <v>372</v>
      </c>
      <c r="C1" s="770"/>
      <c r="D1" s="770"/>
      <c r="E1" s="770"/>
      <c r="F1" s="770"/>
      <c r="G1" s="770"/>
      <c r="H1" s="770"/>
      <c r="I1" s="771"/>
    </row>
    <row r="2" spans="1:9" s="259" customFormat="1" ht="12.75" customHeight="1">
      <c r="A2" s="744" t="s">
        <v>171</v>
      </c>
      <c r="B2" s="745"/>
      <c r="C2" s="745"/>
      <c r="D2" s="745"/>
      <c r="E2" s="745"/>
      <c r="F2" s="745"/>
      <c r="G2" s="745"/>
      <c r="H2" s="745"/>
      <c r="I2" s="746"/>
    </row>
    <row r="3" spans="1:254" s="67" customFormat="1" ht="38.25">
      <c r="A3" s="730" t="s">
        <v>173</v>
      </c>
      <c r="B3" s="747"/>
      <c r="C3" s="747"/>
      <c r="D3" s="747"/>
      <c r="E3" s="747"/>
      <c r="F3" s="747"/>
      <c r="G3" s="731"/>
      <c r="H3" s="274" t="s">
        <v>174</v>
      </c>
      <c r="I3" s="275" t="s">
        <v>351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67" customFormat="1" ht="12.75" customHeight="1">
      <c r="A4" s="748" t="s">
        <v>175</v>
      </c>
      <c r="B4" s="749"/>
      <c r="C4" s="749"/>
      <c r="D4" s="749"/>
      <c r="E4" s="749"/>
      <c r="F4" s="749"/>
      <c r="G4" s="750"/>
      <c r="H4" s="143" t="s">
        <v>176</v>
      </c>
      <c r="I4" s="148" t="s">
        <v>144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67" customFormat="1" ht="12.75">
      <c r="A5" s="738" t="s">
        <v>178</v>
      </c>
      <c r="B5" s="739"/>
      <c r="C5" s="739"/>
      <c r="D5" s="739"/>
      <c r="E5" s="739"/>
      <c r="F5" s="739"/>
      <c r="G5" s="739"/>
      <c r="H5" s="739"/>
      <c r="I5" s="74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67" customFormat="1" ht="12.75">
      <c r="A6" s="730" t="s">
        <v>179</v>
      </c>
      <c r="B6" s="731"/>
      <c r="C6" s="145" t="s">
        <v>180</v>
      </c>
      <c r="D6" s="146" t="s">
        <v>181</v>
      </c>
      <c r="E6" s="146" t="s">
        <v>46</v>
      </c>
      <c r="F6" s="146" t="s">
        <v>327</v>
      </c>
      <c r="G6" s="146" t="s">
        <v>184</v>
      </c>
      <c r="H6" s="147" t="s">
        <v>185</v>
      </c>
      <c r="I6" s="145" t="s">
        <v>186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67" customFormat="1" ht="60.75" customHeight="1">
      <c r="A7" s="754" t="s">
        <v>328</v>
      </c>
      <c r="B7" s="755"/>
      <c r="C7" s="148" t="s">
        <v>191</v>
      </c>
      <c r="D7" s="149">
        <v>5</v>
      </c>
      <c r="E7" s="148" t="s">
        <v>105</v>
      </c>
      <c r="F7" s="148">
        <v>73340</v>
      </c>
      <c r="G7" s="149">
        <v>90.19</v>
      </c>
      <c r="H7" s="150"/>
      <c r="I7" s="150">
        <f>G7*D7</f>
        <v>450.95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67" customFormat="1" ht="60.75" customHeight="1">
      <c r="A8" s="754" t="s">
        <v>329</v>
      </c>
      <c r="B8" s="755"/>
      <c r="C8" s="148" t="s">
        <v>191</v>
      </c>
      <c r="D8" s="260">
        <v>5</v>
      </c>
      <c r="E8" s="148" t="s">
        <v>105</v>
      </c>
      <c r="F8" s="148">
        <v>89872</v>
      </c>
      <c r="G8" s="149">
        <v>139.43</v>
      </c>
      <c r="H8" s="150"/>
      <c r="I8" s="150">
        <f>G8*D8</f>
        <v>697.1500000000001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67" customFormat="1" ht="37.5" customHeight="1">
      <c r="A9" s="754" t="s">
        <v>352</v>
      </c>
      <c r="B9" s="755"/>
      <c r="C9" s="148" t="s">
        <v>191</v>
      </c>
      <c r="D9" s="260">
        <v>9</v>
      </c>
      <c r="E9" s="148" t="s">
        <v>353</v>
      </c>
      <c r="F9" s="148">
        <v>8897</v>
      </c>
      <c r="G9" s="149">
        <v>172.45</v>
      </c>
      <c r="H9" s="150"/>
      <c r="I9" s="150">
        <f>G9*D9</f>
        <v>1552.05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67" customFormat="1" ht="12.75">
      <c r="A10" s="728" t="s">
        <v>187</v>
      </c>
      <c r="B10" s="741"/>
      <c r="C10" s="741"/>
      <c r="D10" s="741"/>
      <c r="E10" s="741"/>
      <c r="F10" s="741"/>
      <c r="G10" s="741"/>
      <c r="H10" s="729"/>
      <c r="I10" s="151">
        <f>SUM(I7:I9)</f>
        <v>2700.15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67" customFormat="1" ht="12.75">
      <c r="A11" s="738" t="s">
        <v>188</v>
      </c>
      <c r="B11" s="739"/>
      <c r="C11" s="739"/>
      <c r="D11" s="739"/>
      <c r="E11" s="739"/>
      <c r="F11" s="739"/>
      <c r="G11" s="739"/>
      <c r="H11" s="739"/>
      <c r="I11" s="74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67" customFormat="1" ht="12.75">
      <c r="A12" s="730" t="s">
        <v>179</v>
      </c>
      <c r="B12" s="731"/>
      <c r="C12" s="145" t="s">
        <v>180</v>
      </c>
      <c r="D12" s="146" t="s">
        <v>181</v>
      </c>
      <c r="E12" s="146" t="s">
        <v>46</v>
      </c>
      <c r="F12" s="146" t="s">
        <v>327</v>
      </c>
      <c r="G12" s="146" t="s">
        <v>184</v>
      </c>
      <c r="H12" s="147" t="s">
        <v>185</v>
      </c>
      <c r="I12" s="145" t="s">
        <v>186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67" customFormat="1" ht="12.75">
      <c r="A13" s="742"/>
      <c r="B13" s="743"/>
      <c r="C13" s="261"/>
      <c r="D13" s="262"/>
      <c r="E13" s="154"/>
      <c r="F13" s="155"/>
      <c r="G13" s="155"/>
      <c r="H13" s="156"/>
      <c r="I13" s="157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</row>
    <row r="14" spans="1:254" s="67" customFormat="1" ht="12.75">
      <c r="A14" s="751" t="s">
        <v>187</v>
      </c>
      <c r="B14" s="752"/>
      <c r="C14" s="752"/>
      <c r="D14" s="752"/>
      <c r="E14" s="752"/>
      <c r="F14" s="752"/>
      <c r="G14" s="752"/>
      <c r="H14" s="753"/>
      <c r="I14" s="150">
        <f>SUM(I13:I13)</f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67" customFormat="1" ht="12.75">
      <c r="A15" s="738" t="s">
        <v>193</v>
      </c>
      <c r="B15" s="739"/>
      <c r="C15" s="739"/>
      <c r="D15" s="739"/>
      <c r="E15" s="739"/>
      <c r="F15" s="739"/>
      <c r="G15" s="739"/>
      <c r="H15" s="739"/>
      <c r="I15" s="74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67" customFormat="1" ht="12.75">
      <c r="A16" s="730" t="s">
        <v>179</v>
      </c>
      <c r="B16" s="731"/>
      <c r="C16" s="145" t="s">
        <v>180</v>
      </c>
      <c r="D16" s="146" t="s">
        <v>181</v>
      </c>
      <c r="E16" s="146" t="s">
        <v>46</v>
      </c>
      <c r="F16" s="146" t="s">
        <v>327</v>
      </c>
      <c r="G16" s="146" t="s">
        <v>184</v>
      </c>
      <c r="H16" s="147" t="s">
        <v>185</v>
      </c>
      <c r="I16" s="145" t="s">
        <v>186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67" customFormat="1" ht="12.75">
      <c r="A17" s="161"/>
      <c r="B17" s="162"/>
      <c r="C17" s="159"/>
      <c r="D17" s="159"/>
      <c r="E17" s="159"/>
      <c r="F17" s="159"/>
      <c r="G17" s="159"/>
      <c r="H17" s="148"/>
      <c r="I17" s="150">
        <f>D17*H17</f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67" customFormat="1" ht="12.75">
      <c r="A18" s="728" t="s">
        <v>187</v>
      </c>
      <c r="B18" s="741"/>
      <c r="C18" s="741"/>
      <c r="D18" s="741"/>
      <c r="E18" s="741"/>
      <c r="F18" s="741"/>
      <c r="G18" s="741"/>
      <c r="H18" s="729"/>
      <c r="I18" s="163">
        <f>SUM(I17)</f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67" customFormat="1" ht="16.5" customHeight="1">
      <c r="A19" s="738" t="s">
        <v>194</v>
      </c>
      <c r="B19" s="739"/>
      <c r="C19" s="739"/>
      <c r="D19" s="739"/>
      <c r="E19" s="739"/>
      <c r="F19" s="739"/>
      <c r="G19" s="739"/>
      <c r="H19" s="739"/>
      <c r="I19" s="740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67" customFormat="1" ht="12.75">
      <c r="A20" s="730" t="s">
        <v>179</v>
      </c>
      <c r="B20" s="731"/>
      <c r="C20" s="145" t="s">
        <v>180</v>
      </c>
      <c r="D20" s="146" t="s">
        <v>181</v>
      </c>
      <c r="E20" s="146" t="s">
        <v>46</v>
      </c>
      <c r="F20" s="146" t="s">
        <v>327</v>
      </c>
      <c r="G20" s="146" t="s">
        <v>184</v>
      </c>
      <c r="H20" s="147" t="s">
        <v>185</v>
      </c>
      <c r="I20" s="145" t="s">
        <v>186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67" customFormat="1" ht="12.75">
      <c r="A21" s="754" t="s">
        <v>354</v>
      </c>
      <c r="B21" s="755"/>
      <c r="C21" s="148" t="s">
        <v>191</v>
      </c>
      <c r="D21" s="149">
        <f>D9</f>
        <v>9</v>
      </c>
      <c r="E21" s="148" t="s">
        <v>105</v>
      </c>
      <c r="F21" s="148">
        <v>4094</v>
      </c>
      <c r="G21" s="149">
        <v>19.65</v>
      </c>
      <c r="H21" s="150"/>
      <c r="I21" s="150">
        <f>G21*D21</f>
        <v>176.85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67" customFormat="1" ht="12.75">
      <c r="A22" s="754" t="s">
        <v>355</v>
      </c>
      <c r="B22" s="755"/>
      <c r="C22" s="148" t="s">
        <v>191</v>
      </c>
      <c r="D22" s="149">
        <f>D7</f>
        <v>5</v>
      </c>
      <c r="E22" s="148" t="s">
        <v>105</v>
      </c>
      <c r="F22" s="148">
        <v>4093</v>
      </c>
      <c r="G22" s="149">
        <v>14.72</v>
      </c>
      <c r="H22" s="150"/>
      <c r="I22" s="150">
        <f>G22*D22</f>
        <v>73.60000000000001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67" customFormat="1" ht="12.75">
      <c r="A23" s="754" t="s">
        <v>356</v>
      </c>
      <c r="B23" s="755"/>
      <c r="C23" s="148" t="s">
        <v>191</v>
      </c>
      <c r="D23" s="149">
        <f>D8</f>
        <v>5</v>
      </c>
      <c r="E23" s="148" t="s">
        <v>105</v>
      </c>
      <c r="F23" s="148">
        <v>20020</v>
      </c>
      <c r="G23" s="149">
        <v>13.87</v>
      </c>
      <c r="H23" s="150"/>
      <c r="I23" s="150">
        <f>G23*D23</f>
        <v>69.35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67" customFormat="1" ht="12.75">
      <c r="A24" s="751" t="s">
        <v>187</v>
      </c>
      <c r="B24" s="752"/>
      <c r="C24" s="752"/>
      <c r="D24" s="752"/>
      <c r="E24" s="752"/>
      <c r="F24" s="752"/>
      <c r="G24" s="752"/>
      <c r="H24" s="753"/>
      <c r="I24" s="165">
        <f>SUM(I21:I23)</f>
        <v>319.79999999999995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67" customFormat="1" ht="12.75">
      <c r="A25" s="728" t="s">
        <v>195</v>
      </c>
      <c r="B25" s="729"/>
      <c r="C25" s="166">
        <v>1</v>
      </c>
      <c r="D25" s="728" t="s">
        <v>196</v>
      </c>
      <c r="E25" s="741"/>
      <c r="F25" s="741"/>
      <c r="G25" s="741"/>
      <c r="H25" s="729"/>
      <c r="I25" s="151">
        <f>I24+I18+I14+I10</f>
        <v>3019.95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67" customFormat="1" ht="12.75">
      <c r="A26" s="756" t="s">
        <v>197</v>
      </c>
      <c r="B26" s="757"/>
      <c r="C26" s="757"/>
      <c r="D26" s="757"/>
      <c r="E26" s="757"/>
      <c r="F26" s="757"/>
      <c r="G26" s="757"/>
      <c r="H26" s="758"/>
      <c r="I26" s="163">
        <f>I25/C25</f>
        <v>3019.95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67" customFormat="1" ht="12.75">
      <c r="A27" s="756" t="s">
        <v>198</v>
      </c>
      <c r="B27" s="757"/>
      <c r="C27" s="757"/>
      <c r="D27" s="757"/>
      <c r="E27" s="757"/>
      <c r="F27" s="757"/>
      <c r="G27" s="757"/>
      <c r="H27" s="758"/>
      <c r="I27" s="163">
        <v>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67" customFormat="1" ht="12.75">
      <c r="A28" s="254"/>
      <c r="B28" s="255"/>
      <c r="C28" s="255"/>
      <c r="D28" s="255"/>
      <c r="E28" s="255"/>
      <c r="F28" s="255"/>
      <c r="G28" s="255"/>
      <c r="H28" s="256"/>
      <c r="I28" s="16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67" customFormat="1" ht="12.75">
      <c r="A29" s="759" t="s">
        <v>199</v>
      </c>
      <c r="B29" s="760"/>
      <c r="C29" s="760"/>
      <c r="D29" s="760"/>
      <c r="E29" s="760"/>
      <c r="F29" s="760"/>
      <c r="G29" s="760"/>
      <c r="H29" s="761"/>
      <c r="I29" s="276">
        <f>I26*I27</f>
        <v>3019.95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67" customFormat="1" ht="12.75">
      <c r="A30" s="730"/>
      <c r="B30" s="747"/>
      <c r="C30" s="747"/>
      <c r="D30" s="747"/>
      <c r="E30" s="747"/>
      <c r="F30" s="747"/>
      <c r="G30" s="747"/>
      <c r="H30" s="747"/>
      <c r="I30" s="731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9" ht="15.75" customHeight="1">
      <c r="A31" s="253" t="str">
        <f>A1</f>
        <v>PREFEITURA MUNICIPAL</v>
      </c>
      <c r="B31" s="769" t="s">
        <v>171</v>
      </c>
      <c r="C31" s="770"/>
      <c r="D31" s="770"/>
      <c r="E31" s="770"/>
      <c r="F31" s="770"/>
      <c r="G31" s="770"/>
      <c r="H31" s="770"/>
      <c r="I31" s="771"/>
    </row>
    <row r="32" spans="1:9" s="259" customFormat="1" ht="12.75" customHeight="1">
      <c r="A32" s="744" t="s">
        <v>171</v>
      </c>
      <c r="B32" s="745"/>
      <c r="C32" s="745"/>
      <c r="D32" s="745"/>
      <c r="E32" s="745"/>
      <c r="F32" s="745"/>
      <c r="G32" s="745"/>
      <c r="H32" s="745"/>
      <c r="I32" s="746"/>
    </row>
    <row r="33" spans="1:9" s="235" customFormat="1" ht="38.25">
      <c r="A33" s="732" t="s">
        <v>173</v>
      </c>
      <c r="B33" s="733"/>
      <c r="C33" s="733"/>
      <c r="D33" s="733"/>
      <c r="E33" s="733"/>
      <c r="F33" s="733"/>
      <c r="G33" s="734"/>
      <c r="H33" s="257" t="s">
        <v>174</v>
      </c>
      <c r="I33" s="278" t="str">
        <f>I3</f>
        <v>SINAPI JUNH-2019 E ORSE MAI-2019</v>
      </c>
    </row>
    <row r="34" spans="1:9" s="235" customFormat="1" ht="12.75">
      <c r="A34" s="735" t="s">
        <v>374</v>
      </c>
      <c r="B34" s="736"/>
      <c r="C34" s="736"/>
      <c r="D34" s="736"/>
      <c r="E34" s="736"/>
      <c r="F34" s="736"/>
      <c r="G34" s="737"/>
      <c r="H34" s="264" t="s">
        <v>176</v>
      </c>
      <c r="I34" s="279" t="s">
        <v>144</v>
      </c>
    </row>
    <row r="35" spans="1:9" s="235" customFormat="1" ht="12.75">
      <c r="A35" s="738" t="s">
        <v>178</v>
      </c>
      <c r="B35" s="739"/>
      <c r="C35" s="739"/>
      <c r="D35" s="739"/>
      <c r="E35" s="739"/>
      <c r="F35" s="739"/>
      <c r="G35" s="739"/>
      <c r="H35" s="739"/>
      <c r="I35" s="740"/>
    </row>
    <row r="36" spans="1:9" s="235" customFormat="1" ht="12.75">
      <c r="A36" s="732" t="s">
        <v>179</v>
      </c>
      <c r="B36" s="734"/>
      <c r="C36" s="145" t="s">
        <v>180</v>
      </c>
      <c r="D36" s="146" t="s">
        <v>181</v>
      </c>
      <c r="E36" s="146" t="s">
        <v>182</v>
      </c>
      <c r="F36" s="146" t="s">
        <v>183</v>
      </c>
      <c r="G36" s="146" t="s">
        <v>184</v>
      </c>
      <c r="H36" s="265" t="s">
        <v>185</v>
      </c>
      <c r="I36" s="145" t="s">
        <v>186</v>
      </c>
    </row>
    <row r="37" spans="1:9" s="235" customFormat="1" ht="12.75">
      <c r="A37" s="277"/>
      <c r="B37" s="263"/>
      <c r="C37" s="266"/>
      <c r="D37" s="267"/>
      <c r="E37" s="267"/>
      <c r="F37" s="267"/>
      <c r="G37" s="267"/>
      <c r="H37" s="268"/>
      <c r="I37" s="145"/>
    </row>
    <row r="38" spans="1:9" s="235" customFormat="1" ht="12.75">
      <c r="A38" s="751" t="s">
        <v>187</v>
      </c>
      <c r="B38" s="752"/>
      <c r="C38" s="752"/>
      <c r="D38" s="752"/>
      <c r="E38" s="752"/>
      <c r="F38" s="752"/>
      <c r="G38" s="752"/>
      <c r="H38" s="753"/>
      <c r="I38" s="165">
        <f>SUM(I37)</f>
        <v>0</v>
      </c>
    </row>
    <row r="39" spans="1:9" s="235" customFormat="1" ht="12.75">
      <c r="A39" s="738" t="s">
        <v>188</v>
      </c>
      <c r="B39" s="739"/>
      <c r="C39" s="739"/>
      <c r="D39" s="739"/>
      <c r="E39" s="739"/>
      <c r="F39" s="739"/>
      <c r="G39" s="739"/>
      <c r="H39" s="739"/>
      <c r="I39" s="740"/>
    </row>
    <row r="40" spans="1:9" s="235" customFormat="1" ht="12.75">
      <c r="A40" s="762" t="s">
        <v>179</v>
      </c>
      <c r="B40" s="763"/>
      <c r="C40" s="145" t="s">
        <v>180</v>
      </c>
      <c r="D40" s="146" t="s">
        <v>181</v>
      </c>
      <c r="E40" s="146" t="s">
        <v>46</v>
      </c>
      <c r="F40" s="146" t="s">
        <v>327</v>
      </c>
      <c r="G40" s="146" t="s">
        <v>184</v>
      </c>
      <c r="H40" s="147" t="s">
        <v>185</v>
      </c>
      <c r="I40" s="145" t="s">
        <v>186</v>
      </c>
    </row>
    <row r="41" spans="1:9" s="235" customFormat="1" ht="12.75">
      <c r="A41" s="754" t="s">
        <v>331</v>
      </c>
      <c r="B41" s="755"/>
      <c r="C41" s="148" t="s">
        <v>330</v>
      </c>
      <c r="D41" s="270">
        <v>1</v>
      </c>
      <c r="E41" s="149"/>
      <c r="F41" s="149"/>
      <c r="G41" s="149"/>
      <c r="H41" s="271">
        <v>180</v>
      </c>
      <c r="I41" s="150">
        <f aca="true" t="shared" si="0" ref="I41:I60">D41*H41</f>
        <v>180</v>
      </c>
    </row>
    <row r="42" spans="1:9" s="235" customFormat="1" ht="28.5" customHeight="1">
      <c r="A42" s="754" t="s">
        <v>332</v>
      </c>
      <c r="B42" s="755"/>
      <c r="C42" s="148" t="s">
        <v>153</v>
      </c>
      <c r="D42" s="272">
        <f>1*10</f>
        <v>10</v>
      </c>
      <c r="E42" s="149"/>
      <c r="F42" s="149"/>
      <c r="G42" s="149"/>
      <c r="H42" s="271">
        <v>14.38</v>
      </c>
      <c r="I42" s="150">
        <f t="shared" si="0"/>
        <v>143.8</v>
      </c>
    </row>
    <row r="43" spans="1:9" s="235" customFormat="1" ht="12.75" customHeight="1">
      <c r="A43" s="754" t="s">
        <v>333</v>
      </c>
      <c r="B43" s="755"/>
      <c r="C43" s="148" t="s">
        <v>330</v>
      </c>
      <c r="D43" s="270">
        <f>1*1</f>
        <v>1</v>
      </c>
      <c r="E43" s="149"/>
      <c r="F43" s="149"/>
      <c r="G43" s="149"/>
      <c r="H43" s="271">
        <v>5</v>
      </c>
      <c r="I43" s="150">
        <f t="shared" si="0"/>
        <v>5</v>
      </c>
    </row>
    <row r="44" spans="1:9" s="235" customFormat="1" ht="12.75" customHeight="1">
      <c r="A44" s="754" t="s">
        <v>334</v>
      </c>
      <c r="B44" s="755"/>
      <c r="C44" s="148" t="s">
        <v>330</v>
      </c>
      <c r="D44" s="270">
        <f>1*6</f>
        <v>6</v>
      </c>
      <c r="E44" s="149"/>
      <c r="F44" s="149"/>
      <c r="G44" s="149"/>
      <c r="H44" s="271">
        <v>2.91</v>
      </c>
      <c r="I44" s="150">
        <f t="shared" si="0"/>
        <v>17.46</v>
      </c>
    </row>
    <row r="45" spans="1:9" s="235" customFormat="1" ht="12.75" customHeight="1">
      <c r="A45" s="754" t="s">
        <v>335</v>
      </c>
      <c r="B45" s="755"/>
      <c r="C45" s="148" t="s">
        <v>330</v>
      </c>
      <c r="D45" s="270">
        <f aca="true" t="shared" si="1" ref="D45:D52">1*1</f>
        <v>1</v>
      </c>
      <c r="E45" s="149"/>
      <c r="F45" s="149"/>
      <c r="G45" s="149"/>
      <c r="H45" s="271">
        <v>7.91</v>
      </c>
      <c r="I45" s="150">
        <f t="shared" si="0"/>
        <v>7.91</v>
      </c>
    </row>
    <row r="46" spans="1:9" s="235" customFormat="1" ht="12.75" customHeight="1">
      <c r="A46" s="754" t="s">
        <v>336</v>
      </c>
      <c r="B46" s="755"/>
      <c r="C46" s="148" t="s">
        <v>330</v>
      </c>
      <c r="D46" s="270">
        <f t="shared" si="1"/>
        <v>1</v>
      </c>
      <c r="E46" s="149"/>
      <c r="F46" s="149"/>
      <c r="G46" s="149"/>
      <c r="H46" s="271">
        <v>18.51</v>
      </c>
      <c r="I46" s="150">
        <f t="shared" si="0"/>
        <v>18.51</v>
      </c>
    </row>
    <row r="47" spans="1:9" s="235" customFormat="1" ht="12.75" customHeight="1">
      <c r="A47" s="754" t="s">
        <v>337</v>
      </c>
      <c r="B47" s="755"/>
      <c r="C47" s="148" t="s">
        <v>330</v>
      </c>
      <c r="D47" s="270">
        <f t="shared" si="1"/>
        <v>1</v>
      </c>
      <c r="E47" s="149"/>
      <c r="F47" s="149"/>
      <c r="G47" s="149"/>
      <c r="H47" s="271">
        <v>12.47</v>
      </c>
      <c r="I47" s="150">
        <f t="shared" si="0"/>
        <v>12.47</v>
      </c>
    </row>
    <row r="48" spans="1:9" s="235" customFormat="1" ht="12.75" customHeight="1">
      <c r="A48" s="754" t="s">
        <v>338</v>
      </c>
      <c r="B48" s="755"/>
      <c r="C48" s="148" t="s">
        <v>330</v>
      </c>
      <c r="D48" s="270">
        <f t="shared" si="1"/>
        <v>1</v>
      </c>
      <c r="E48" s="149"/>
      <c r="F48" s="149"/>
      <c r="G48" s="149"/>
      <c r="H48" s="271">
        <v>11.34</v>
      </c>
      <c r="I48" s="150">
        <f t="shared" si="0"/>
        <v>11.34</v>
      </c>
    </row>
    <row r="49" spans="1:9" s="235" customFormat="1" ht="20.25" customHeight="1">
      <c r="A49" s="754" t="s">
        <v>339</v>
      </c>
      <c r="B49" s="755"/>
      <c r="C49" s="148" t="s">
        <v>330</v>
      </c>
      <c r="D49" s="270">
        <f t="shared" si="1"/>
        <v>1</v>
      </c>
      <c r="E49" s="149"/>
      <c r="F49" s="149"/>
      <c r="G49" s="149"/>
      <c r="H49" s="271">
        <v>26.42</v>
      </c>
      <c r="I49" s="150">
        <f t="shared" si="0"/>
        <v>26.42</v>
      </c>
    </row>
    <row r="50" spans="1:9" s="235" customFormat="1" ht="12.75" customHeight="1">
      <c r="A50" s="754" t="s">
        <v>340</v>
      </c>
      <c r="B50" s="755"/>
      <c r="C50" s="148" t="s">
        <v>330</v>
      </c>
      <c r="D50" s="270">
        <f t="shared" si="1"/>
        <v>1</v>
      </c>
      <c r="E50" s="149"/>
      <c r="F50" s="149"/>
      <c r="G50" s="149"/>
      <c r="H50" s="271">
        <v>12.16</v>
      </c>
      <c r="I50" s="150">
        <f t="shared" si="0"/>
        <v>12.16</v>
      </c>
    </row>
    <row r="51" spans="1:9" s="235" customFormat="1" ht="12.75" customHeight="1">
      <c r="A51" s="754" t="s">
        <v>341</v>
      </c>
      <c r="B51" s="755"/>
      <c r="C51" s="148" t="s">
        <v>330</v>
      </c>
      <c r="D51" s="270">
        <f t="shared" si="1"/>
        <v>1</v>
      </c>
      <c r="E51" s="149"/>
      <c r="F51" s="149"/>
      <c r="G51" s="149"/>
      <c r="H51" s="271">
        <v>154.99</v>
      </c>
      <c r="I51" s="150">
        <f t="shared" si="0"/>
        <v>154.99</v>
      </c>
    </row>
    <row r="52" spans="1:9" s="235" customFormat="1" ht="12.75" customHeight="1">
      <c r="A52" s="754" t="s">
        <v>342</v>
      </c>
      <c r="B52" s="755"/>
      <c r="C52" s="148" t="s">
        <v>330</v>
      </c>
      <c r="D52" s="270">
        <f t="shared" si="1"/>
        <v>1</v>
      </c>
      <c r="E52" s="149"/>
      <c r="F52" s="149"/>
      <c r="G52" s="149"/>
      <c r="H52" s="271">
        <v>89</v>
      </c>
      <c r="I52" s="150">
        <f t="shared" si="0"/>
        <v>89</v>
      </c>
    </row>
    <row r="53" spans="1:9" s="235" customFormat="1" ht="12.75" customHeight="1">
      <c r="A53" s="754" t="s">
        <v>343</v>
      </c>
      <c r="B53" s="755"/>
      <c r="C53" s="148" t="s">
        <v>154</v>
      </c>
      <c r="D53" s="270">
        <f>4*1</f>
        <v>4</v>
      </c>
      <c r="E53" s="149"/>
      <c r="F53" s="149"/>
      <c r="G53" s="149"/>
      <c r="H53" s="271">
        <v>20</v>
      </c>
      <c r="I53" s="150">
        <f t="shared" si="0"/>
        <v>80</v>
      </c>
    </row>
    <row r="54" spans="1:9" s="235" customFormat="1" ht="12.75" customHeight="1">
      <c r="A54" s="754" t="s">
        <v>344</v>
      </c>
      <c r="B54" s="755"/>
      <c r="C54" s="148" t="s">
        <v>330</v>
      </c>
      <c r="D54" s="270">
        <f>1*1</f>
        <v>1</v>
      </c>
      <c r="E54" s="149"/>
      <c r="F54" s="149"/>
      <c r="G54" s="149"/>
      <c r="H54" s="271">
        <v>17</v>
      </c>
      <c r="I54" s="150">
        <f t="shared" si="0"/>
        <v>17</v>
      </c>
    </row>
    <row r="55" spans="1:9" s="235" customFormat="1" ht="12.75" customHeight="1">
      <c r="A55" s="754" t="s">
        <v>345</v>
      </c>
      <c r="B55" s="755"/>
      <c r="C55" s="148" t="s">
        <v>330</v>
      </c>
      <c r="D55" s="270">
        <f>1*1</f>
        <v>1</v>
      </c>
      <c r="E55" s="149"/>
      <c r="F55" s="149"/>
      <c r="G55" s="149"/>
      <c r="H55" s="271">
        <v>84.55</v>
      </c>
      <c r="I55" s="150">
        <f t="shared" si="0"/>
        <v>84.55</v>
      </c>
    </row>
    <row r="56" spans="1:9" s="235" customFormat="1" ht="12.75" customHeight="1">
      <c r="A56" s="754" t="s">
        <v>346</v>
      </c>
      <c r="B56" s="755"/>
      <c r="C56" s="148" t="s">
        <v>330</v>
      </c>
      <c r="D56" s="270">
        <f>1*1</f>
        <v>1</v>
      </c>
      <c r="E56" s="149"/>
      <c r="F56" s="149"/>
      <c r="G56" s="149"/>
      <c r="H56" s="271">
        <v>29.83</v>
      </c>
      <c r="I56" s="150">
        <f t="shared" si="0"/>
        <v>29.83</v>
      </c>
    </row>
    <row r="57" spans="1:9" s="235" customFormat="1" ht="12.75" customHeight="1">
      <c r="A57" s="754" t="s">
        <v>347</v>
      </c>
      <c r="B57" s="755"/>
      <c r="C57" s="148" t="s">
        <v>180</v>
      </c>
      <c r="D57" s="270">
        <v>1</v>
      </c>
      <c r="E57" s="149"/>
      <c r="F57" s="149"/>
      <c r="G57" s="149"/>
      <c r="H57" s="271">
        <v>800</v>
      </c>
      <c r="I57" s="150">
        <f t="shared" si="0"/>
        <v>800</v>
      </c>
    </row>
    <row r="58" spans="1:9" s="235" customFormat="1" ht="12.75" customHeight="1">
      <c r="A58" s="754" t="s">
        <v>348</v>
      </c>
      <c r="B58" s="755"/>
      <c r="C58" s="148" t="s">
        <v>180</v>
      </c>
      <c r="D58" s="270">
        <v>0</v>
      </c>
      <c r="E58" s="149"/>
      <c r="F58" s="149"/>
      <c r="G58" s="149"/>
      <c r="H58" s="271">
        <v>800</v>
      </c>
      <c r="I58" s="150">
        <f t="shared" si="0"/>
        <v>0</v>
      </c>
    </row>
    <row r="59" spans="1:9" s="235" customFormat="1" ht="12.75" customHeight="1">
      <c r="A59" s="754" t="s">
        <v>349</v>
      </c>
      <c r="B59" s="755"/>
      <c r="C59" s="148" t="s">
        <v>180</v>
      </c>
      <c r="D59" s="270">
        <v>0</v>
      </c>
      <c r="E59" s="149"/>
      <c r="F59" s="149"/>
      <c r="G59" s="149"/>
      <c r="H59" s="271">
        <v>800</v>
      </c>
      <c r="I59" s="150">
        <f t="shared" si="0"/>
        <v>0</v>
      </c>
    </row>
    <row r="60" spans="1:9" s="235" customFormat="1" ht="12.75" customHeight="1">
      <c r="A60" s="754" t="s">
        <v>350</v>
      </c>
      <c r="B60" s="755"/>
      <c r="C60" s="148" t="s">
        <v>180</v>
      </c>
      <c r="D60" s="270">
        <v>11</v>
      </c>
      <c r="E60" s="149"/>
      <c r="F60" s="149"/>
      <c r="G60" s="149"/>
      <c r="H60" s="271">
        <v>178</v>
      </c>
      <c r="I60" s="150">
        <f t="shared" si="0"/>
        <v>1958</v>
      </c>
    </row>
    <row r="61" spans="1:9" s="235" customFormat="1" ht="12.75">
      <c r="A61" s="751" t="s">
        <v>187</v>
      </c>
      <c r="B61" s="752"/>
      <c r="C61" s="752"/>
      <c r="D61" s="752"/>
      <c r="E61" s="752"/>
      <c r="F61" s="752"/>
      <c r="G61" s="752"/>
      <c r="H61" s="753"/>
      <c r="I61" s="150">
        <f>SUM(I41:I60)</f>
        <v>3648.44</v>
      </c>
    </row>
    <row r="62" spans="1:9" s="235" customFormat="1" ht="12.75">
      <c r="A62" s="738" t="s">
        <v>193</v>
      </c>
      <c r="B62" s="739"/>
      <c r="C62" s="739"/>
      <c r="D62" s="739"/>
      <c r="E62" s="739"/>
      <c r="F62" s="739"/>
      <c r="G62" s="739"/>
      <c r="H62" s="739"/>
      <c r="I62" s="740"/>
    </row>
    <row r="63" spans="1:9" s="235" customFormat="1" ht="12.75">
      <c r="A63" s="732" t="s">
        <v>179</v>
      </c>
      <c r="B63" s="734"/>
      <c r="C63" s="156" t="s">
        <v>180</v>
      </c>
      <c r="D63" s="156" t="s">
        <v>181</v>
      </c>
      <c r="E63" s="159"/>
      <c r="F63" s="159"/>
      <c r="G63" s="159"/>
      <c r="H63" s="269" t="s">
        <v>189</v>
      </c>
      <c r="I63" s="160" t="s">
        <v>186</v>
      </c>
    </row>
    <row r="64" spans="1:9" s="235" customFormat="1" ht="12.75">
      <c r="A64" s="754"/>
      <c r="B64" s="755"/>
      <c r="C64" s="148"/>
      <c r="D64" s="270"/>
      <c r="E64" s="159"/>
      <c r="F64" s="159"/>
      <c r="G64" s="159"/>
      <c r="H64" s="273"/>
      <c r="I64" s="163">
        <f>D64*H64</f>
        <v>0</v>
      </c>
    </row>
    <row r="65" spans="1:9" s="235" customFormat="1" ht="12.75">
      <c r="A65" s="728" t="s">
        <v>187</v>
      </c>
      <c r="B65" s="741"/>
      <c r="C65" s="741"/>
      <c r="D65" s="741"/>
      <c r="E65" s="741"/>
      <c r="F65" s="741"/>
      <c r="G65" s="741"/>
      <c r="H65" s="729"/>
      <c r="I65" s="163">
        <f>SUM(I64:I64)</f>
        <v>0</v>
      </c>
    </row>
    <row r="66" spans="1:9" s="235" customFormat="1" ht="12.75">
      <c r="A66" s="738" t="s">
        <v>194</v>
      </c>
      <c r="B66" s="739"/>
      <c r="C66" s="739"/>
      <c r="D66" s="739"/>
      <c r="E66" s="739"/>
      <c r="F66" s="739"/>
      <c r="G66" s="739"/>
      <c r="H66" s="739"/>
      <c r="I66" s="740"/>
    </row>
    <row r="67" spans="1:9" s="235" customFormat="1" ht="12.75">
      <c r="A67" s="732" t="s">
        <v>179</v>
      </c>
      <c r="B67" s="734"/>
      <c r="C67" s="145" t="s">
        <v>180</v>
      </c>
      <c r="D67" s="146" t="s">
        <v>181</v>
      </c>
      <c r="E67" s="146" t="s">
        <v>46</v>
      </c>
      <c r="F67" s="146" t="s">
        <v>327</v>
      </c>
      <c r="G67" s="146" t="s">
        <v>184</v>
      </c>
      <c r="H67" s="147" t="s">
        <v>185</v>
      </c>
      <c r="I67" s="145" t="s">
        <v>186</v>
      </c>
    </row>
    <row r="68" spans="1:9" s="235" customFormat="1" ht="31.5" customHeight="1">
      <c r="A68" s="754" t="s">
        <v>357</v>
      </c>
      <c r="B68" s="755"/>
      <c r="C68" s="148" t="s">
        <v>330</v>
      </c>
      <c r="D68" s="270">
        <f>0.2*0.5</f>
        <v>0.1</v>
      </c>
      <c r="E68" s="269" t="s">
        <v>105</v>
      </c>
      <c r="F68" s="269">
        <v>40813</v>
      </c>
      <c r="G68" s="273"/>
      <c r="H68" s="273">
        <v>14602.2</v>
      </c>
      <c r="I68" s="150">
        <f>D68*H68</f>
        <v>1460.2200000000003</v>
      </c>
    </row>
    <row r="69" spans="1:9" s="235" customFormat="1" ht="30.75" customHeight="1">
      <c r="A69" s="754" t="s">
        <v>358</v>
      </c>
      <c r="B69" s="755"/>
      <c r="C69" s="148" t="s">
        <v>330</v>
      </c>
      <c r="D69" s="270">
        <f>0.2*0.5</f>
        <v>0.1</v>
      </c>
      <c r="E69" s="269" t="s">
        <v>105</v>
      </c>
      <c r="F69" s="159">
        <v>40812</v>
      </c>
      <c r="G69" s="159"/>
      <c r="H69" s="273">
        <v>2397.46</v>
      </c>
      <c r="I69" s="150">
        <f>D69*H69</f>
        <v>239.746</v>
      </c>
    </row>
    <row r="70" spans="1:9" s="235" customFormat="1" ht="12.75">
      <c r="A70" s="728" t="s">
        <v>187</v>
      </c>
      <c r="B70" s="741"/>
      <c r="C70" s="741"/>
      <c r="D70" s="741"/>
      <c r="E70" s="741"/>
      <c r="F70" s="741"/>
      <c r="G70" s="741"/>
      <c r="H70" s="729"/>
      <c r="I70" s="151">
        <f>SUM(I68:I69)</f>
        <v>1699.9660000000003</v>
      </c>
    </row>
    <row r="71" spans="1:9" s="235" customFormat="1" ht="12.75">
      <c r="A71" s="728" t="s">
        <v>195</v>
      </c>
      <c r="B71" s="729"/>
      <c r="C71" s="166">
        <v>1</v>
      </c>
      <c r="D71" s="728" t="s">
        <v>196</v>
      </c>
      <c r="E71" s="741"/>
      <c r="F71" s="741"/>
      <c r="G71" s="741"/>
      <c r="H71" s="729"/>
      <c r="I71" s="151">
        <f>I70+I65+I61+I38</f>
        <v>5348.406000000001</v>
      </c>
    </row>
    <row r="72" spans="1:9" s="235" customFormat="1" ht="12.75">
      <c r="A72" s="756" t="s">
        <v>197</v>
      </c>
      <c r="B72" s="757"/>
      <c r="C72" s="757"/>
      <c r="D72" s="757"/>
      <c r="E72" s="757"/>
      <c r="F72" s="757"/>
      <c r="G72" s="757"/>
      <c r="H72" s="758"/>
      <c r="I72" s="163">
        <f>I71/C71</f>
        <v>5348.406000000001</v>
      </c>
    </row>
    <row r="73" spans="1:9" s="235" customFormat="1" ht="12.75">
      <c r="A73" s="756" t="s">
        <v>198</v>
      </c>
      <c r="B73" s="757"/>
      <c r="C73" s="757"/>
      <c r="D73" s="757"/>
      <c r="E73" s="757"/>
      <c r="F73" s="757"/>
      <c r="G73" s="757"/>
      <c r="H73" s="758"/>
      <c r="I73" s="163">
        <v>1</v>
      </c>
    </row>
    <row r="74" spans="1:9" s="235" customFormat="1" ht="12.75">
      <c r="A74" s="764" t="s">
        <v>199</v>
      </c>
      <c r="B74" s="765"/>
      <c r="C74" s="765"/>
      <c r="D74" s="765"/>
      <c r="E74" s="765"/>
      <c r="F74" s="765"/>
      <c r="G74" s="765"/>
      <c r="H74" s="766"/>
      <c r="I74" s="280">
        <f>I72*I73</f>
        <v>5348.406000000001</v>
      </c>
    </row>
    <row r="75" spans="1:9" ht="12.75">
      <c r="A75" s="281"/>
      <c r="I75" s="283"/>
    </row>
    <row r="76" spans="1:9" ht="12.75">
      <c r="A76" s="281"/>
      <c r="I76" s="283"/>
    </row>
    <row r="77" spans="1:9" ht="12.75">
      <c r="A77" s="281"/>
      <c r="I77" s="283"/>
    </row>
    <row r="78" spans="1:9" ht="12.75">
      <c r="A78" s="281"/>
      <c r="I78" s="283"/>
    </row>
    <row r="79" spans="1:9" ht="12.75">
      <c r="A79" s="281"/>
      <c r="B79" s="394"/>
      <c r="C79" s="394"/>
      <c r="D79" s="394"/>
      <c r="E79" s="394"/>
      <c r="F79" s="394"/>
      <c r="G79" s="394"/>
      <c r="I79" s="283"/>
    </row>
    <row r="80" spans="1:9" ht="12.75">
      <c r="A80" s="281"/>
      <c r="B80" s="564" t="s">
        <v>396</v>
      </c>
      <c r="C80" s="564"/>
      <c r="D80" s="564"/>
      <c r="E80" s="564"/>
      <c r="F80" s="564"/>
      <c r="G80" s="564"/>
      <c r="I80" s="283"/>
    </row>
    <row r="81" spans="1:9" ht="12.75">
      <c r="A81" s="281"/>
      <c r="B81" s="767" t="s">
        <v>397</v>
      </c>
      <c r="C81" s="767"/>
      <c r="D81" s="767"/>
      <c r="E81" s="767"/>
      <c r="F81" s="767"/>
      <c r="G81" s="767"/>
      <c r="I81" s="283"/>
    </row>
    <row r="82" spans="1:9" ht="12.75">
      <c r="A82" s="281"/>
      <c r="B82" s="395"/>
      <c r="C82" s="395"/>
      <c r="D82" s="395"/>
      <c r="E82" s="395"/>
      <c r="F82" s="395"/>
      <c r="G82" s="395"/>
      <c r="I82" s="283"/>
    </row>
    <row r="83" spans="1:9" ht="12.75">
      <c r="A83" s="281"/>
      <c r="B83" s="768"/>
      <c r="C83" s="768"/>
      <c r="D83" s="768"/>
      <c r="E83" s="768"/>
      <c r="F83" s="768"/>
      <c r="G83" s="768"/>
      <c r="I83" s="283"/>
    </row>
    <row r="84" spans="1:9" ht="12.75">
      <c r="A84" s="281"/>
      <c r="B84" s="564" t="s">
        <v>398</v>
      </c>
      <c r="C84" s="564"/>
      <c r="D84" s="564"/>
      <c r="E84" s="564"/>
      <c r="F84" s="564"/>
      <c r="G84" s="564"/>
      <c r="I84" s="283"/>
    </row>
    <row r="85" spans="1:9" ht="12.75">
      <c r="A85" s="281"/>
      <c r="B85" s="767" t="s">
        <v>250</v>
      </c>
      <c r="C85" s="767"/>
      <c r="D85" s="767"/>
      <c r="E85" s="767"/>
      <c r="F85" s="767"/>
      <c r="G85" s="767"/>
      <c r="I85" s="283"/>
    </row>
    <row r="86" spans="1:9" ht="12.75">
      <c r="A86" s="281"/>
      <c r="B86" s="67"/>
      <c r="C86" s="67"/>
      <c r="D86" s="67"/>
      <c r="E86" s="67"/>
      <c r="F86" s="67"/>
      <c r="G86" s="67"/>
      <c r="I86" s="283"/>
    </row>
    <row r="87" spans="1:9" ht="12.75">
      <c r="A87" s="281"/>
      <c r="I87" s="283"/>
    </row>
    <row r="88" spans="1:9" ht="12.75">
      <c r="A88" s="284"/>
      <c r="B88" s="285"/>
      <c r="C88" s="285"/>
      <c r="D88" s="285"/>
      <c r="E88" s="285"/>
      <c r="F88" s="285"/>
      <c r="G88" s="285"/>
      <c r="H88" s="285"/>
      <c r="I88" s="286"/>
    </row>
  </sheetData>
  <sheetProtection/>
  <mergeCells count="78">
    <mergeCell ref="B80:G80"/>
    <mergeCell ref="B81:G81"/>
    <mergeCell ref="B83:G83"/>
    <mergeCell ref="B84:G84"/>
    <mergeCell ref="B85:G85"/>
    <mergeCell ref="B1:I1"/>
    <mergeCell ref="B31:I31"/>
    <mergeCell ref="A32:I32"/>
    <mergeCell ref="A9:B9"/>
    <mergeCell ref="A70:H70"/>
    <mergeCell ref="A71:B71"/>
    <mergeCell ref="D71:H71"/>
    <mergeCell ref="A72:H72"/>
    <mergeCell ref="A73:H73"/>
    <mergeCell ref="A74:H74"/>
    <mergeCell ref="A65:H65"/>
    <mergeCell ref="A66:I66"/>
    <mergeCell ref="A67:B67"/>
    <mergeCell ref="A68:B68"/>
    <mergeCell ref="A69:B69"/>
    <mergeCell ref="A59:B59"/>
    <mergeCell ref="A60:B60"/>
    <mergeCell ref="A61:H61"/>
    <mergeCell ref="A62:I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26:H26"/>
    <mergeCell ref="A27:H27"/>
    <mergeCell ref="A29:H29"/>
    <mergeCell ref="A30:I30"/>
    <mergeCell ref="A43:B43"/>
    <mergeCell ref="A44:B44"/>
    <mergeCell ref="A39:I39"/>
    <mergeCell ref="A40:B40"/>
    <mergeCell ref="A41:B41"/>
    <mergeCell ref="A42:B42"/>
    <mergeCell ref="A45:B45"/>
    <mergeCell ref="A46:B46"/>
    <mergeCell ref="A38:H38"/>
    <mergeCell ref="A14:H14"/>
    <mergeCell ref="A15:I15"/>
    <mergeCell ref="A16:B16"/>
    <mergeCell ref="A18:H18"/>
    <mergeCell ref="A19:I19"/>
    <mergeCell ref="D25:H25"/>
    <mergeCell ref="A21:B21"/>
    <mergeCell ref="A2:I2"/>
    <mergeCell ref="A3:G3"/>
    <mergeCell ref="A4:G4"/>
    <mergeCell ref="A5:I5"/>
    <mergeCell ref="A20:B20"/>
    <mergeCell ref="A24:H24"/>
    <mergeCell ref="A22:B22"/>
    <mergeCell ref="A23:B23"/>
    <mergeCell ref="A7:B7"/>
    <mergeCell ref="A8:B8"/>
    <mergeCell ref="A25:B25"/>
    <mergeCell ref="A6:B6"/>
    <mergeCell ref="A33:G33"/>
    <mergeCell ref="A34:G34"/>
    <mergeCell ref="A35:I35"/>
    <mergeCell ref="A36:B36"/>
    <mergeCell ref="A10:H10"/>
    <mergeCell ref="A11:I11"/>
    <mergeCell ref="A12:B12"/>
    <mergeCell ref="A13:B13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73" r:id="rId1"/>
  <rowBreaks count="1" manualBreakCount="1">
    <brk id="6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7">
      <selection activeCell="B7" sqref="B7"/>
    </sheetView>
  </sheetViews>
  <sheetFormatPr defaultColWidth="9.140625" defaultRowHeight="12.75"/>
  <cols>
    <col min="1" max="1" width="6.8515625" style="67" customWidth="1"/>
    <col min="2" max="2" width="52.8515625" style="67" customWidth="1"/>
    <col min="3" max="3" width="14.00390625" style="67" bestFit="1" customWidth="1"/>
    <col min="4" max="4" width="9.28125" style="67" customWidth="1"/>
    <col min="5" max="5" width="14.8515625" style="67" bestFit="1" customWidth="1"/>
    <col min="6" max="6" width="16.57421875" style="67" customWidth="1"/>
    <col min="7" max="7" width="29.00390625" style="67" customWidth="1"/>
    <col min="8" max="8" width="15.140625" style="67" customWidth="1"/>
    <col min="9" max="16384" width="9.140625" style="67" customWidth="1"/>
  </cols>
  <sheetData>
    <row r="1" spans="1:8" ht="13.5" thickBot="1">
      <c r="A1" s="72"/>
      <c r="B1" s="73"/>
      <c r="C1" s="73"/>
      <c r="D1" s="73"/>
      <c r="E1" s="73"/>
      <c r="F1" s="73"/>
      <c r="H1" s="74"/>
    </row>
    <row r="2" spans="1:7" ht="21" thickBot="1">
      <c r="A2" s="780" t="s">
        <v>75</v>
      </c>
      <c r="B2" s="781"/>
      <c r="C2" s="781"/>
      <c r="D2" s="781"/>
      <c r="E2" s="781"/>
      <c r="F2" s="781"/>
      <c r="G2" s="782"/>
    </row>
    <row r="3" spans="1:7" ht="25.5" customHeight="1">
      <c r="A3" s="68"/>
      <c r="B3" s="69" t="s">
        <v>92</v>
      </c>
      <c r="G3" s="75"/>
    </row>
    <row r="4" spans="1:7" ht="21.75" customHeight="1" thickBot="1">
      <c r="A4" s="84" t="s">
        <v>58</v>
      </c>
      <c r="B4" s="793" t="s">
        <v>67</v>
      </c>
      <c r="C4" s="793"/>
      <c r="D4" s="793"/>
      <c r="E4" s="793"/>
      <c r="F4" s="793"/>
      <c r="G4" s="794"/>
    </row>
    <row r="5" spans="1:7" ht="12.75">
      <c r="A5" s="68"/>
      <c r="G5" s="75"/>
    </row>
    <row r="6" spans="1:7" ht="13.5" thickBot="1">
      <c r="A6" s="76"/>
      <c r="E6" s="77"/>
      <c r="G6" s="75"/>
    </row>
    <row r="7" spans="1:7" ht="28.5" customHeight="1">
      <c r="A7" s="110" t="s">
        <v>49</v>
      </c>
      <c r="B7" s="111" t="s">
        <v>48</v>
      </c>
      <c r="C7" s="81"/>
      <c r="D7" s="799"/>
      <c r="E7" s="800"/>
      <c r="F7" s="800"/>
      <c r="G7" s="801"/>
    </row>
    <row r="8" spans="1:7" ht="87.75" customHeight="1">
      <c r="A8" s="112" t="s">
        <v>50</v>
      </c>
      <c r="B8" s="113" t="s">
        <v>66</v>
      </c>
      <c r="C8" s="114" t="s">
        <v>83</v>
      </c>
      <c r="D8" s="775" t="s">
        <v>82</v>
      </c>
      <c r="E8" s="776"/>
      <c r="F8" s="776"/>
      <c r="G8" s="777"/>
    </row>
    <row r="9" spans="1:7" s="69" customFormat="1" ht="40.5" customHeight="1">
      <c r="A9" s="87"/>
      <c r="B9" s="88" t="s">
        <v>54</v>
      </c>
      <c r="C9" s="89"/>
      <c r="D9" s="789"/>
      <c r="E9" s="790"/>
      <c r="F9" s="790"/>
      <c r="G9" s="791"/>
    </row>
    <row r="10" spans="1:7" ht="42" customHeight="1">
      <c r="A10" s="112" t="s">
        <v>56</v>
      </c>
      <c r="B10" s="113" t="s">
        <v>80</v>
      </c>
      <c r="C10" s="114" t="s">
        <v>87</v>
      </c>
      <c r="D10" s="775" t="s">
        <v>86</v>
      </c>
      <c r="E10" s="776"/>
      <c r="F10" s="776"/>
      <c r="G10" s="777"/>
    </row>
    <row r="11" spans="1:7" ht="39.75" customHeight="1">
      <c r="A11" s="112" t="s">
        <v>57</v>
      </c>
      <c r="B11" s="79" t="s">
        <v>55</v>
      </c>
      <c r="C11" s="114" t="s">
        <v>85</v>
      </c>
      <c r="D11" s="786" t="s">
        <v>84</v>
      </c>
      <c r="E11" s="787"/>
      <c r="F11" s="787"/>
      <c r="G11" s="788"/>
    </row>
    <row r="12" spans="1:7" ht="36.75" customHeight="1">
      <c r="A12" s="112" t="s">
        <v>53</v>
      </c>
      <c r="B12" s="79" t="e">
        <f>PLANILHA!#REF!</f>
        <v>#REF!</v>
      </c>
      <c r="C12" s="114" t="s">
        <v>85</v>
      </c>
      <c r="D12" s="786" t="s">
        <v>84</v>
      </c>
      <c r="E12" s="787"/>
      <c r="F12" s="787"/>
      <c r="G12" s="788"/>
    </row>
    <row r="13" spans="1:7" ht="48.75" customHeight="1">
      <c r="A13" s="115" t="s">
        <v>59</v>
      </c>
      <c r="B13" s="113" t="s">
        <v>76</v>
      </c>
      <c r="C13" s="114" t="s">
        <v>90</v>
      </c>
      <c r="D13" s="775" t="s">
        <v>91</v>
      </c>
      <c r="E13" s="776"/>
      <c r="F13" s="776"/>
      <c r="G13" s="777"/>
    </row>
    <row r="14" spans="1:7" ht="36.75" customHeight="1">
      <c r="A14" s="115" t="s">
        <v>68</v>
      </c>
      <c r="B14" s="113" t="s">
        <v>77</v>
      </c>
      <c r="C14" s="114" t="s">
        <v>89</v>
      </c>
      <c r="D14" s="775" t="s">
        <v>88</v>
      </c>
      <c r="E14" s="776"/>
      <c r="F14" s="776"/>
      <c r="G14" s="777"/>
    </row>
    <row r="15" spans="1:7" s="69" customFormat="1" ht="30.75" customHeight="1">
      <c r="A15" s="108"/>
      <c r="B15" s="109" t="s">
        <v>52</v>
      </c>
      <c r="C15" s="89"/>
      <c r="D15" s="772"/>
      <c r="E15" s="773"/>
      <c r="F15" s="773"/>
      <c r="G15" s="774"/>
    </row>
    <row r="16" spans="1:7" ht="37.5" customHeight="1">
      <c r="A16" s="112" t="s">
        <v>69</v>
      </c>
      <c r="B16" s="78" t="str">
        <f>PLANILHA!G71</f>
        <v>ENSAIOS DE REGULARIZACAO DO SUBLEITO</v>
      </c>
      <c r="C16" s="82">
        <v>106</v>
      </c>
      <c r="D16" s="783" t="s">
        <v>64</v>
      </c>
      <c r="E16" s="784"/>
      <c r="F16" s="784"/>
      <c r="G16" s="785"/>
    </row>
    <row r="17" spans="1:7" ht="36" customHeight="1">
      <c r="A17" s="112" t="s">
        <v>70</v>
      </c>
      <c r="B17" s="78" t="str">
        <f>PLANILHA!G72</f>
        <v>ENSAIOS DE BASE ESTABILIZADA GRANULOMETRICAMENTE</v>
      </c>
      <c r="C17" s="82" t="e">
        <f>PLANILHA!V72</f>
        <v>#REF!</v>
      </c>
      <c r="D17" s="795" t="s">
        <v>65</v>
      </c>
      <c r="E17" s="796"/>
      <c r="F17" s="796"/>
      <c r="G17" s="797"/>
    </row>
    <row r="18" spans="1:7" ht="43.5" customHeight="1">
      <c r="A18" s="112" t="s">
        <v>71</v>
      </c>
      <c r="B18" s="78" t="str">
        <f>PLANILHA!G73</f>
        <v>ENSAIOS DE CONCRETO ASFALTICO</v>
      </c>
      <c r="C18" s="114" t="s">
        <v>78</v>
      </c>
      <c r="D18" s="798" t="s">
        <v>79</v>
      </c>
      <c r="E18" s="796"/>
      <c r="F18" s="796"/>
      <c r="G18" s="797"/>
    </row>
    <row r="19" spans="1:7" ht="33" customHeight="1" thickBot="1">
      <c r="A19" s="112" t="s">
        <v>72</v>
      </c>
      <c r="B19" s="80" t="e">
        <f>PLANILHA!#REF!</f>
        <v>#REF!</v>
      </c>
      <c r="C19" s="83">
        <v>13</v>
      </c>
      <c r="D19" s="783" t="s">
        <v>81</v>
      </c>
      <c r="E19" s="784"/>
      <c r="F19" s="784"/>
      <c r="G19" s="785"/>
    </row>
    <row r="20" spans="1:7" ht="12.75">
      <c r="A20" s="792"/>
      <c r="B20" s="792"/>
      <c r="C20" s="792"/>
      <c r="D20" s="792"/>
      <c r="E20" s="792"/>
      <c r="F20" s="792"/>
      <c r="G20" s="792"/>
    </row>
    <row r="21" spans="2:7" ht="30.75" customHeight="1">
      <c r="B21" s="778" t="s">
        <v>73</v>
      </c>
      <c r="C21" s="778"/>
      <c r="D21" s="778"/>
      <c r="E21" s="778"/>
      <c r="F21" s="778"/>
      <c r="G21" s="778"/>
    </row>
    <row r="22" spans="2:7" ht="15" customHeight="1">
      <c r="B22" s="778" t="s">
        <v>74</v>
      </c>
      <c r="C22" s="778"/>
      <c r="D22" s="778"/>
      <c r="E22" s="778"/>
      <c r="F22" s="778"/>
      <c r="G22" s="778"/>
    </row>
    <row r="23" spans="2:7" ht="12.75">
      <c r="B23" s="778"/>
      <c r="C23" s="778"/>
      <c r="D23" s="778"/>
      <c r="E23" s="778"/>
      <c r="F23" s="778"/>
      <c r="G23" s="778"/>
    </row>
    <row r="24" spans="3:4" ht="12.75">
      <c r="C24" s="779"/>
      <c r="D24" s="779"/>
    </row>
  </sheetData>
  <sheetProtection/>
  <mergeCells count="20">
    <mergeCell ref="D9:G9"/>
    <mergeCell ref="A20:G20"/>
    <mergeCell ref="B4:G4"/>
    <mergeCell ref="D13:G13"/>
    <mergeCell ref="D14:G14"/>
    <mergeCell ref="D16:G16"/>
    <mergeCell ref="D17:G17"/>
    <mergeCell ref="D18:G18"/>
    <mergeCell ref="D7:G7"/>
    <mergeCell ref="D11:G11"/>
    <mergeCell ref="D15:G15"/>
    <mergeCell ref="D10:G10"/>
    <mergeCell ref="B23:G23"/>
    <mergeCell ref="C24:D24"/>
    <mergeCell ref="A2:G2"/>
    <mergeCell ref="D8:G8"/>
    <mergeCell ref="B21:G21"/>
    <mergeCell ref="B22:G22"/>
    <mergeCell ref="D19:G19"/>
    <mergeCell ref="D12:G12"/>
  </mergeCells>
  <conditionalFormatting sqref="A7:B19">
    <cfRule type="expression" priority="4" dxfId="0" stopIfTrue="1">
      <formula>#REF!=1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8" sqref="I18"/>
    </sheetView>
  </sheetViews>
  <sheetFormatPr defaultColWidth="9.140625" defaultRowHeight="12.75"/>
  <cols>
    <col min="3" max="3" width="13.421875" style="0" customWidth="1"/>
    <col min="4" max="4" width="12.28125" style="0" customWidth="1"/>
    <col min="6" max="6" width="17.140625" style="0" customWidth="1"/>
    <col min="7" max="7" width="16.140625" style="0" customWidth="1"/>
    <col min="9" max="9" width="13.140625" style="0" bestFit="1" customWidth="1"/>
  </cols>
  <sheetData>
    <row r="1" spans="1:5" ht="12.75">
      <c r="A1" s="193" t="s">
        <v>228</v>
      </c>
      <c r="B1" s="194"/>
      <c r="C1" s="808" t="e">
        <f>D14</f>
        <v>#REF!</v>
      </c>
      <c r="D1" s="809"/>
      <c r="E1" s="67" t="s">
        <v>229</v>
      </c>
    </row>
    <row r="2" spans="1:4" ht="12.75">
      <c r="A2" s="802" t="s">
        <v>230</v>
      </c>
      <c r="B2" s="803"/>
      <c r="C2" s="810">
        <v>500000</v>
      </c>
      <c r="D2" s="811"/>
    </row>
    <row r="3" spans="1:4" ht="12.75">
      <c r="A3" s="802" t="s">
        <v>231</v>
      </c>
      <c r="B3" s="803"/>
      <c r="C3" s="808" t="e">
        <f>C1-C2</f>
        <v>#REF!</v>
      </c>
      <c r="D3" s="809"/>
    </row>
    <row r="4" spans="1:4" ht="12.75">
      <c r="A4" s="802" t="s">
        <v>232</v>
      </c>
      <c r="B4" s="803"/>
      <c r="C4" s="812" t="e">
        <f>C2/C1</f>
        <v>#REF!</v>
      </c>
      <c r="D4" s="813"/>
    </row>
    <row r="5" spans="6:7" ht="12.75">
      <c r="F5" s="67" t="s">
        <v>233</v>
      </c>
      <c r="G5" s="67" t="s">
        <v>234</v>
      </c>
    </row>
    <row r="6" spans="1:7" ht="12.75">
      <c r="A6" s="819" t="s">
        <v>235</v>
      </c>
      <c r="B6" s="820"/>
      <c r="C6" s="820"/>
      <c r="D6" s="820"/>
      <c r="E6" s="821"/>
      <c r="F6" s="195" t="s">
        <v>248</v>
      </c>
      <c r="G6" s="195" t="s">
        <v>61</v>
      </c>
    </row>
    <row r="7" spans="1:7" ht="12.75">
      <c r="A7" s="71" t="s">
        <v>236</v>
      </c>
      <c r="B7" s="802" t="str">
        <f>'[1]PL BOA SORTE'!$C$10</f>
        <v>SERVICOS PRELIMINARES</v>
      </c>
      <c r="C7" s="803"/>
      <c r="D7" s="804" t="e">
        <f>PLANILHA!AI34</f>
        <v>#REF!</v>
      </c>
      <c r="E7" s="805"/>
      <c r="F7" s="196" t="e">
        <f aca="true" t="shared" si="0" ref="F7:F13">D7-G7</f>
        <v>#REF!</v>
      </c>
      <c r="G7" s="196" t="e">
        <f aca="true" t="shared" si="1" ref="G7:G13">D7-(D7*$C$4)</f>
        <v>#REF!</v>
      </c>
    </row>
    <row r="8" spans="1:7" ht="12.75">
      <c r="A8" s="71" t="s">
        <v>237</v>
      </c>
      <c r="B8" s="802" t="s">
        <v>98</v>
      </c>
      <c r="C8" s="803"/>
      <c r="D8" s="804" t="e">
        <f>PLANILHA!AI40</f>
        <v>#REF!</v>
      </c>
      <c r="E8" s="805"/>
      <c r="F8" s="196" t="e">
        <f t="shared" si="0"/>
        <v>#REF!</v>
      </c>
      <c r="G8" s="196" t="e">
        <f t="shared" si="1"/>
        <v>#REF!</v>
      </c>
    </row>
    <row r="9" spans="1:7" ht="12.75">
      <c r="A9" s="197" t="s">
        <v>238</v>
      </c>
      <c r="B9" s="802" t="s">
        <v>241</v>
      </c>
      <c r="C9" s="803"/>
      <c r="D9" s="804" t="e">
        <f>PLANILHA!AI51</f>
        <v>#REF!</v>
      </c>
      <c r="E9" s="805"/>
      <c r="F9" s="196" t="e">
        <f t="shared" si="0"/>
        <v>#REF!</v>
      </c>
      <c r="G9" s="196" t="e">
        <f t="shared" si="1"/>
        <v>#REF!</v>
      </c>
    </row>
    <row r="10" spans="1:7" ht="12.75">
      <c r="A10" s="197" t="s">
        <v>49</v>
      </c>
      <c r="B10" s="802" t="s">
        <v>119</v>
      </c>
      <c r="C10" s="803"/>
      <c r="D10" s="804" t="e">
        <f>PLANILHA!AI54</f>
        <v>#REF!</v>
      </c>
      <c r="E10" s="805"/>
      <c r="F10" s="196" t="e">
        <f t="shared" si="0"/>
        <v>#REF!</v>
      </c>
      <c r="G10" s="196" t="e">
        <f t="shared" si="1"/>
        <v>#REF!</v>
      </c>
    </row>
    <row r="11" spans="1:7" ht="26.25" customHeight="1">
      <c r="A11" s="197" t="s">
        <v>245</v>
      </c>
      <c r="B11" s="806" t="s">
        <v>242</v>
      </c>
      <c r="C11" s="807"/>
      <c r="D11" s="804" t="e">
        <f>PLANILHA!AI63</f>
        <v>#REF!</v>
      </c>
      <c r="E11" s="805"/>
      <c r="F11" s="196" t="e">
        <f t="shared" si="0"/>
        <v>#REF!</v>
      </c>
      <c r="G11" s="196" t="e">
        <f t="shared" si="1"/>
        <v>#REF!</v>
      </c>
    </row>
    <row r="12" spans="1:7" ht="12.75">
      <c r="A12" s="197" t="s">
        <v>246</v>
      </c>
      <c r="B12" s="802" t="s">
        <v>243</v>
      </c>
      <c r="C12" s="803"/>
      <c r="D12" s="804">
        <f>PLANILHA!AI68</f>
        <v>17449</v>
      </c>
      <c r="E12" s="805"/>
      <c r="F12" s="196" t="e">
        <f t="shared" si="0"/>
        <v>#REF!</v>
      </c>
      <c r="G12" s="196" t="e">
        <f t="shared" si="1"/>
        <v>#REF!</v>
      </c>
    </row>
    <row r="13" spans="1:7" ht="12.75">
      <c r="A13" s="197" t="s">
        <v>247</v>
      </c>
      <c r="B13" s="802" t="s">
        <v>244</v>
      </c>
      <c r="C13" s="803"/>
      <c r="D13" s="804" t="e">
        <f>PLANILHA!AI74</f>
        <v>#REF!</v>
      </c>
      <c r="E13" s="805"/>
      <c r="F13" s="196" t="e">
        <f t="shared" si="0"/>
        <v>#REF!</v>
      </c>
      <c r="G13" s="196" t="e">
        <f t="shared" si="1"/>
        <v>#REF!</v>
      </c>
    </row>
    <row r="14" spans="1:7" ht="12.75">
      <c r="A14" s="814" t="s">
        <v>239</v>
      </c>
      <c r="B14" s="815"/>
      <c r="C14" s="816"/>
      <c r="D14" s="817" t="e">
        <f>SUM(D7:E13)</f>
        <v>#REF!</v>
      </c>
      <c r="E14" s="818"/>
      <c r="F14" s="198" t="e">
        <f>SUM(F7:F13)</f>
        <v>#REF!</v>
      </c>
      <c r="G14" s="198" t="e">
        <f>SUM(G7:G13)</f>
        <v>#REF!</v>
      </c>
    </row>
    <row r="17" spans="7:9" ht="12.75">
      <c r="G17" s="199"/>
      <c r="I17" s="209"/>
    </row>
  </sheetData>
  <sheetProtection/>
  <mergeCells count="24">
    <mergeCell ref="B10:C10"/>
    <mergeCell ref="D10:E10"/>
    <mergeCell ref="A14:C14"/>
    <mergeCell ref="D14:E14"/>
    <mergeCell ref="A6:E6"/>
    <mergeCell ref="B7:C7"/>
    <mergeCell ref="D7:E7"/>
    <mergeCell ref="B8:C8"/>
    <mergeCell ref="D8:E8"/>
    <mergeCell ref="B9:C9"/>
    <mergeCell ref="D9:E9"/>
    <mergeCell ref="C1:D1"/>
    <mergeCell ref="A2:B2"/>
    <mergeCell ref="C2:D2"/>
    <mergeCell ref="A3:B3"/>
    <mergeCell ref="C3:D3"/>
    <mergeCell ref="A4:B4"/>
    <mergeCell ref="C4:D4"/>
    <mergeCell ref="B13:C13"/>
    <mergeCell ref="D13:E13"/>
    <mergeCell ref="B11:C11"/>
    <mergeCell ref="D11:E11"/>
    <mergeCell ref="B12:C12"/>
    <mergeCell ref="D12:E12"/>
  </mergeCells>
  <printOptions horizontalCentered="1"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="85" zoomScaleSheetLayoutView="85" zoomScalePageLayoutView="0" workbookViewId="0" topLeftCell="A1">
      <selection activeCell="D12" sqref="D12:D14"/>
    </sheetView>
  </sheetViews>
  <sheetFormatPr defaultColWidth="9.140625" defaultRowHeight="12.75"/>
  <cols>
    <col min="1" max="1" width="26.421875" style="0" customWidth="1"/>
    <col min="2" max="2" width="13.57421875" style="0" customWidth="1"/>
    <col min="3" max="3" width="11.57421875" style="0" customWidth="1"/>
    <col min="4" max="4" width="13.28125" style="0" customWidth="1"/>
    <col min="5" max="5" width="12.140625" style="0" customWidth="1"/>
    <col min="7" max="7" width="29.140625" style="0" customWidth="1"/>
  </cols>
  <sheetData>
    <row r="1" spans="1:9" ht="12.75">
      <c r="A1" s="822" t="s">
        <v>377</v>
      </c>
      <c r="B1" s="823"/>
      <c r="C1" s="823"/>
      <c r="D1" s="823"/>
      <c r="E1" s="823"/>
      <c r="F1" s="823"/>
      <c r="G1" s="823"/>
      <c r="H1" s="823"/>
      <c r="I1" s="824"/>
    </row>
    <row r="2" spans="1:9" ht="12.75">
      <c r="A2" s="822" t="s">
        <v>378</v>
      </c>
      <c r="B2" s="823"/>
      <c r="C2" s="823"/>
      <c r="D2" s="823"/>
      <c r="E2" s="823"/>
      <c r="F2" s="823"/>
      <c r="G2" s="823"/>
      <c r="H2" s="823"/>
      <c r="I2" s="824"/>
    </row>
    <row r="3" spans="1:9" ht="12.75">
      <c r="A3" s="825" t="s">
        <v>379</v>
      </c>
      <c r="B3" s="826"/>
      <c r="D3" s="825" t="s">
        <v>379</v>
      </c>
      <c r="E3" s="827"/>
      <c r="F3" s="827"/>
      <c r="G3" s="827"/>
      <c r="H3" s="827"/>
      <c r="I3" s="826"/>
    </row>
    <row r="4" spans="1:9" ht="12.75">
      <c r="A4" s="281"/>
      <c r="I4" s="283"/>
    </row>
    <row r="5" spans="1:9" ht="12.75">
      <c r="A5" s="364" t="s">
        <v>380</v>
      </c>
      <c r="B5" s="365" t="s">
        <v>381</v>
      </c>
      <c r="D5" s="829" t="s">
        <v>427</v>
      </c>
      <c r="E5" s="830"/>
      <c r="G5" s="831" t="s">
        <v>382</v>
      </c>
      <c r="H5" s="831"/>
      <c r="I5" s="283"/>
    </row>
    <row r="6" spans="1:9" ht="12.75">
      <c r="A6" s="366" t="s">
        <v>301</v>
      </c>
      <c r="B6" s="367" t="s">
        <v>383</v>
      </c>
      <c r="D6" s="368" t="s">
        <v>383</v>
      </c>
      <c r="E6" s="369">
        <v>0.038</v>
      </c>
      <c r="G6" s="370" t="s">
        <v>384</v>
      </c>
      <c r="H6" s="371">
        <v>0.03</v>
      </c>
      <c r="I6" s="283"/>
    </row>
    <row r="7" spans="1:9" ht="12.75">
      <c r="A7" s="372" t="s">
        <v>385</v>
      </c>
      <c r="B7" s="373" t="s">
        <v>386</v>
      </c>
      <c r="D7" s="374" t="s">
        <v>386</v>
      </c>
      <c r="E7" s="375">
        <v>0.0032</v>
      </c>
      <c r="G7" s="370" t="s">
        <v>302</v>
      </c>
      <c r="H7" s="371">
        <v>0.0065</v>
      </c>
      <c r="I7" s="283"/>
    </row>
    <row r="8" spans="1:9" ht="12.75">
      <c r="A8" s="366" t="s">
        <v>303</v>
      </c>
      <c r="B8" s="367" t="s">
        <v>387</v>
      </c>
      <c r="D8" s="368" t="s">
        <v>387</v>
      </c>
      <c r="E8" s="376">
        <v>0.005</v>
      </c>
      <c r="G8" s="377" t="s">
        <v>304</v>
      </c>
      <c r="H8" s="371">
        <v>0.03</v>
      </c>
      <c r="I8" s="283"/>
    </row>
    <row r="9" spans="1:9" ht="12.75">
      <c r="A9" s="372" t="s">
        <v>388</v>
      </c>
      <c r="B9" s="373" t="s">
        <v>389</v>
      </c>
      <c r="D9" s="378" t="s">
        <v>389</v>
      </c>
      <c r="E9" s="379">
        <v>0.0102</v>
      </c>
      <c r="G9" s="377" t="s">
        <v>390</v>
      </c>
      <c r="H9" s="371">
        <v>0.045</v>
      </c>
      <c r="I9" s="283"/>
    </row>
    <row r="10" spans="1:9" ht="12.75">
      <c r="A10" s="380" t="s">
        <v>305</v>
      </c>
      <c r="B10" s="381" t="s">
        <v>391</v>
      </c>
      <c r="C10" s="382"/>
      <c r="D10" s="378" t="s">
        <v>391</v>
      </c>
      <c r="E10" s="383">
        <v>0.0664</v>
      </c>
      <c r="F10" s="382"/>
      <c r="G10" s="384" t="s">
        <v>51</v>
      </c>
      <c r="H10" s="385">
        <f>SUM(H6:H9)</f>
        <v>0.1115</v>
      </c>
      <c r="I10" s="386"/>
    </row>
    <row r="11" spans="1:9" ht="27.75" customHeight="1">
      <c r="A11" s="387" t="s">
        <v>392</v>
      </c>
      <c r="B11" s="388" t="s">
        <v>149</v>
      </c>
      <c r="C11" s="382"/>
      <c r="D11" s="374" t="s">
        <v>149</v>
      </c>
      <c r="E11" s="375">
        <f>H10</f>
        <v>0.1115</v>
      </c>
      <c r="F11" s="382"/>
      <c r="G11" s="382"/>
      <c r="H11" s="382"/>
      <c r="I11" s="386"/>
    </row>
    <row r="12" spans="1:9" ht="12.75">
      <c r="A12" s="832" t="s">
        <v>393</v>
      </c>
      <c r="B12" s="833"/>
      <c r="D12" s="834" t="s">
        <v>363</v>
      </c>
      <c r="E12" s="389"/>
      <c r="G12" s="837" t="s">
        <v>421</v>
      </c>
      <c r="H12" s="837"/>
      <c r="I12" s="837"/>
    </row>
    <row r="13" spans="1:9" ht="12.75">
      <c r="A13" s="838" t="s">
        <v>394</v>
      </c>
      <c r="B13" s="839"/>
      <c r="D13" s="835"/>
      <c r="E13" s="390">
        <f>(((1+E6+E7+E8)*(1+E9)*(1+E10))/(1-E11))-1</f>
        <v>0.26848338811029815</v>
      </c>
      <c r="G13" s="837"/>
      <c r="H13" s="837"/>
      <c r="I13" s="837"/>
    </row>
    <row r="14" spans="1:9" ht="12.75">
      <c r="A14" s="840" t="s">
        <v>395</v>
      </c>
      <c r="B14" s="841"/>
      <c r="D14" s="836"/>
      <c r="E14" s="391"/>
      <c r="G14" s="837"/>
      <c r="H14" s="837"/>
      <c r="I14" s="837"/>
    </row>
    <row r="15" spans="1:9" ht="12.75">
      <c r="A15" s="281"/>
      <c r="G15" s="837"/>
      <c r="H15" s="837"/>
      <c r="I15" s="837"/>
    </row>
    <row r="16" spans="1:9" ht="12.75">
      <c r="A16" s="281"/>
      <c r="G16" s="392"/>
      <c r="H16" s="392"/>
      <c r="I16" s="393"/>
    </row>
    <row r="17" spans="1:9" ht="12.75">
      <c r="A17" s="281"/>
      <c r="B17" s="285"/>
      <c r="C17" s="285"/>
      <c r="D17" s="285"/>
      <c r="E17" s="285"/>
      <c r="F17" s="285"/>
      <c r="G17" s="285"/>
      <c r="I17" s="283"/>
    </row>
    <row r="18" spans="1:9" ht="12.75">
      <c r="A18" s="281"/>
      <c r="B18" s="767" t="s">
        <v>396</v>
      </c>
      <c r="C18" s="767"/>
      <c r="D18" s="767"/>
      <c r="E18" s="767"/>
      <c r="F18" s="767"/>
      <c r="G18" s="767"/>
      <c r="I18" s="283"/>
    </row>
    <row r="19" spans="1:9" ht="12.75">
      <c r="A19" s="281"/>
      <c r="B19" s="828" t="s">
        <v>397</v>
      </c>
      <c r="C19" s="828"/>
      <c r="D19" s="828"/>
      <c r="E19" s="828"/>
      <c r="F19" s="828"/>
      <c r="G19" s="828"/>
      <c r="I19" s="283"/>
    </row>
    <row r="20" spans="1:9" ht="12.75">
      <c r="A20" s="281"/>
      <c r="I20" s="283"/>
    </row>
    <row r="21" spans="1:9" ht="12.75">
      <c r="A21" s="284"/>
      <c r="B21" s="285"/>
      <c r="C21" s="285"/>
      <c r="D21" s="285"/>
      <c r="E21" s="285"/>
      <c r="F21" s="285"/>
      <c r="G21" s="285"/>
      <c r="H21" s="285"/>
      <c r="I21" s="286"/>
    </row>
  </sheetData>
  <sheetProtection/>
  <mergeCells count="13">
    <mergeCell ref="G12:I15"/>
    <mergeCell ref="A13:B13"/>
    <mergeCell ref="A14:B14"/>
    <mergeCell ref="A1:I1"/>
    <mergeCell ref="A2:I2"/>
    <mergeCell ref="A3:B3"/>
    <mergeCell ref="D3:I3"/>
    <mergeCell ref="B18:G18"/>
    <mergeCell ref="B19:G19"/>
    <mergeCell ref="D5:E5"/>
    <mergeCell ref="G5:H5"/>
    <mergeCell ref="A12:B12"/>
    <mergeCell ref="D12:D14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r:id="rId3"/>
  <rowBreaks count="1" manualBreakCount="1">
    <brk id="38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8"/>
  <sheetViews>
    <sheetView view="pageBreakPreview" zoomScale="85" zoomScaleNormal="85" zoomScaleSheetLayoutView="85" zoomScalePageLayoutView="0" workbookViewId="0" topLeftCell="A1">
      <selection activeCell="A149" sqref="A149"/>
    </sheetView>
  </sheetViews>
  <sheetFormatPr defaultColWidth="9.140625" defaultRowHeight="12.75"/>
  <cols>
    <col min="2" max="2" width="47.28125" style="0" customWidth="1"/>
    <col min="3" max="3" width="9.140625" style="0" customWidth="1"/>
    <col min="4" max="4" width="9.57421875" style="0" bestFit="1" customWidth="1"/>
    <col min="5" max="5" width="11.57421875" style="0" bestFit="1" customWidth="1"/>
    <col min="6" max="6" width="10.00390625" style="0" customWidth="1"/>
    <col min="7" max="7" width="11.00390625" style="0" customWidth="1"/>
    <col min="8" max="8" width="12.140625" style="0" customWidth="1"/>
    <col min="9" max="9" width="14.00390625" style="0" customWidth="1"/>
  </cols>
  <sheetData>
    <row r="1" spans="1:9" ht="12.75">
      <c r="A1" s="133" t="s">
        <v>252</v>
      </c>
      <c r="B1" s="134"/>
      <c r="C1" s="134"/>
      <c r="D1" s="134"/>
      <c r="E1" s="135"/>
      <c r="F1" s="136"/>
      <c r="G1" s="137"/>
      <c r="H1" s="138"/>
      <c r="I1" s="139"/>
    </row>
    <row r="2" spans="1:9" ht="13.5" thickBot="1">
      <c r="A2" s="850" t="s">
        <v>170</v>
      </c>
      <c r="B2" s="851"/>
      <c r="C2" s="851"/>
      <c r="D2" s="851"/>
      <c r="E2" s="851"/>
      <c r="F2" s="851"/>
      <c r="G2" s="851"/>
      <c r="H2" s="851"/>
      <c r="I2" s="852"/>
    </row>
    <row r="3" spans="1:9" ht="15" customHeight="1">
      <c r="A3" s="853"/>
      <c r="B3" s="854"/>
      <c r="C3" s="855" t="s">
        <v>171</v>
      </c>
      <c r="D3" s="856"/>
      <c r="E3" s="856"/>
      <c r="F3" s="856"/>
      <c r="G3" s="856"/>
      <c r="H3" s="857"/>
      <c r="I3" s="140" t="s">
        <v>172</v>
      </c>
    </row>
    <row r="4" spans="1:9" ht="12.75">
      <c r="A4" s="730" t="s">
        <v>173</v>
      </c>
      <c r="B4" s="747"/>
      <c r="C4" s="747"/>
      <c r="D4" s="747"/>
      <c r="E4" s="747"/>
      <c r="F4" s="747"/>
      <c r="G4" s="731"/>
      <c r="H4" s="141" t="s">
        <v>174</v>
      </c>
      <c r="I4" s="142">
        <v>42917</v>
      </c>
    </row>
    <row r="5" spans="1:9" ht="12.75" customHeight="1">
      <c r="A5" s="754" t="s">
        <v>175</v>
      </c>
      <c r="B5" s="858"/>
      <c r="C5" s="858"/>
      <c r="D5" s="858"/>
      <c r="E5" s="858"/>
      <c r="F5" s="858"/>
      <c r="G5" s="755"/>
      <c r="H5" s="143" t="s">
        <v>176</v>
      </c>
      <c r="I5" s="144" t="s">
        <v>177</v>
      </c>
    </row>
    <row r="6" spans="1:9" ht="12.75">
      <c r="A6" s="738" t="s">
        <v>178</v>
      </c>
      <c r="B6" s="739"/>
      <c r="C6" s="739"/>
      <c r="D6" s="739"/>
      <c r="E6" s="739"/>
      <c r="F6" s="739"/>
      <c r="G6" s="739"/>
      <c r="H6" s="739"/>
      <c r="I6" s="740"/>
    </row>
    <row r="7" spans="1:9" ht="12.75">
      <c r="A7" s="730" t="s">
        <v>179</v>
      </c>
      <c r="B7" s="731"/>
      <c r="C7" s="145" t="s">
        <v>180</v>
      </c>
      <c r="D7" s="146" t="s">
        <v>181</v>
      </c>
      <c r="E7" s="146" t="s">
        <v>182</v>
      </c>
      <c r="F7" s="146" t="s">
        <v>183</v>
      </c>
      <c r="G7" s="146" t="s">
        <v>184</v>
      </c>
      <c r="H7" s="147" t="s">
        <v>185</v>
      </c>
      <c r="I7" s="145" t="s">
        <v>186</v>
      </c>
    </row>
    <row r="8" spans="1:9" ht="12.75">
      <c r="A8" s="859"/>
      <c r="B8" s="860"/>
      <c r="C8" s="148"/>
      <c r="D8" s="148"/>
      <c r="E8" s="148"/>
      <c r="F8" s="149"/>
      <c r="G8" s="149"/>
      <c r="H8" s="150"/>
      <c r="I8" s="150">
        <f>G8*D8</f>
        <v>0</v>
      </c>
    </row>
    <row r="9" spans="1:9" ht="12.75">
      <c r="A9" s="728" t="s">
        <v>187</v>
      </c>
      <c r="B9" s="741"/>
      <c r="C9" s="741"/>
      <c r="D9" s="741"/>
      <c r="E9" s="741"/>
      <c r="F9" s="741"/>
      <c r="G9" s="741"/>
      <c r="H9" s="729"/>
      <c r="I9" s="151">
        <f>SUM(I8)</f>
        <v>0</v>
      </c>
    </row>
    <row r="10" spans="1:9" ht="12.75">
      <c r="A10" s="738" t="s">
        <v>188</v>
      </c>
      <c r="B10" s="739"/>
      <c r="C10" s="739"/>
      <c r="D10" s="739"/>
      <c r="E10" s="739"/>
      <c r="F10" s="739"/>
      <c r="G10" s="739"/>
      <c r="H10" s="739"/>
      <c r="I10" s="740"/>
    </row>
    <row r="11" spans="1:9" ht="12.75">
      <c r="A11" s="738" t="s">
        <v>179</v>
      </c>
      <c r="B11" s="740"/>
      <c r="C11" s="148" t="s">
        <v>180</v>
      </c>
      <c r="D11" s="149" t="s">
        <v>181</v>
      </c>
      <c r="E11" s="149" t="s">
        <v>45</v>
      </c>
      <c r="F11" s="149"/>
      <c r="G11" s="149"/>
      <c r="H11" s="148" t="s">
        <v>189</v>
      </c>
      <c r="I11" s="148" t="s">
        <v>186</v>
      </c>
    </row>
    <row r="12" spans="1:9" s="158" customFormat="1" ht="65.25" customHeight="1">
      <c r="A12" s="742" t="s">
        <v>190</v>
      </c>
      <c r="B12" s="743"/>
      <c r="C12" s="152" t="s">
        <v>191</v>
      </c>
      <c r="D12" s="153">
        <v>42</v>
      </c>
      <c r="E12" s="154" t="s">
        <v>210</v>
      </c>
      <c r="F12" s="155"/>
      <c r="G12" s="155"/>
      <c r="H12" s="156">
        <v>29.84</v>
      </c>
      <c r="I12" s="157">
        <f>(D12*H12)</f>
        <v>1253.28</v>
      </c>
    </row>
    <row r="13" spans="1:9" ht="60.75" customHeight="1">
      <c r="A13" s="742" t="s">
        <v>192</v>
      </c>
      <c r="B13" s="743"/>
      <c r="C13" s="152" t="s">
        <v>191</v>
      </c>
      <c r="D13" s="153">
        <v>36</v>
      </c>
      <c r="E13" s="154" t="s">
        <v>210</v>
      </c>
      <c r="F13" s="155"/>
      <c r="G13" s="155"/>
      <c r="H13" s="156">
        <v>110.22</v>
      </c>
      <c r="I13" s="157">
        <f>(D13*H13)</f>
        <v>3967.92</v>
      </c>
    </row>
    <row r="14" spans="1:9" ht="12.75">
      <c r="A14" s="751" t="s">
        <v>187</v>
      </c>
      <c r="B14" s="752"/>
      <c r="C14" s="752"/>
      <c r="D14" s="752"/>
      <c r="E14" s="752"/>
      <c r="F14" s="752"/>
      <c r="G14" s="752"/>
      <c r="H14" s="753"/>
      <c r="I14" s="150">
        <f>SUM(I12:I13)</f>
        <v>5221.2</v>
      </c>
    </row>
    <row r="15" spans="1:9" ht="12.75">
      <c r="A15" s="738" t="s">
        <v>193</v>
      </c>
      <c r="B15" s="739"/>
      <c r="C15" s="739"/>
      <c r="D15" s="739"/>
      <c r="E15" s="739"/>
      <c r="F15" s="739"/>
      <c r="G15" s="739"/>
      <c r="H15" s="739"/>
      <c r="I15" s="740"/>
    </row>
    <row r="16" spans="1:9" ht="12.75">
      <c r="A16" s="730" t="s">
        <v>179</v>
      </c>
      <c r="B16" s="731"/>
      <c r="C16" s="159" t="s">
        <v>180</v>
      </c>
      <c r="D16" s="159" t="s">
        <v>181</v>
      </c>
      <c r="E16" s="159" t="s">
        <v>45</v>
      </c>
      <c r="F16" s="159"/>
      <c r="G16" s="159"/>
      <c r="H16" s="148" t="s">
        <v>189</v>
      </c>
      <c r="I16" s="160" t="s">
        <v>186</v>
      </c>
    </row>
    <row r="17" spans="1:9" ht="12.75">
      <c r="A17" s="161"/>
      <c r="B17" s="162"/>
      <c r="C17" s="159"/>
      <c r="D17" s="159"/>
      <c r="E17" s="159"/>
      <c r="F17" s="159"/>
      <c r="G17" s="159"/>
      <c r="H17" s="148"/>
      <c r="I17" s="150">
        <f>D17*H17</f>
        <v>0</v>
      </c>
    </row>
    <row r="18" spans="1:9" ht="12.75">
      <c r="A18" s="728" t="s">
        <v>187</v>
      </c>
      <c r="B18" s="741"/>
      <c r="C18" s="741"/>
      <c r="D18" s="741"/>
      <c r="E18" s="741"/>
      <c r="F18" s="741"/>
      <c r="G18" s="741"/>
      <c r="H18" s="729"/>
      <c r="I18" s="163">
        <f>SUM(I17)</f>
        <v>0</v>
      </c>
    </row>
    <row r="19" spans="1:9" ht="12.75">
      <c r="A19" s="738" t="s">
        <v>194</v>
      </c>
      <c r="B19" s="739"/>
      <c r="C19" s="739"/>
      <c r="D19" s="739"/>
      <c r="E19" s="739"/>
      <c r="F19" s="739"/>
      <c r="G19" s="739"/>
      <c r="H19" s="739"/>
      <c r="I19" s="740"/>
    </row>
    <row r="20" spans="1:9" ht="12.75">
      <c r="A20" s="738" t="s">
        <v>179</v>
      </c>
      <c r="B20" s="740"/>
      <c r="C20" s="148" t="s">
        <v>180</v>
      </c>
      <c r="D20" s="149" t="s">
        <v>181</v>
      </c>
      <c r="E20" s="149" t="s">
        <v>45</v>
      </c>
      <c r="F20" s="149"/>
      <c r="G20" s="149"/>
      <c r="H20" s="148" t="s">
        <v>189</v>
      </c>
      <c r="I20" s="148" t="s">
        <v>186</v>
      </c>
    </row>
    <row r="21" spans="1:9" ht="27" customHeight="1">
      <c r="A21" s="742" t="s">
        <v>261</v>
      </c>
      <c r="B21" s="743"/>
      <c r="C21" s="156" t="s">
        <v>191</v>
      </c>
      <c r="D21" s="153">
        <v>32</v>
      </c>
      <c r="E21" s="156">
        <v>6127</v>
      </c>
      <c r="F21" s="155"/>
      <c r="G21" s="155"/>
      <c r="H21" s="164">
        <v>9.99</v>
      </c>
      <c r="I21" s="164">
        <f>D21*H21</f>
        <v>319.68</v>
      </c>
    </row>
    <row r="22" spans="1:9" ht="12.75">
      <c r="A22" s="861"/>
      <c r="B22" s="862"/>
      <c r="C22" s="156"/>
      <c r="D22" s="153"/>
      <c r="E22" s="156"/>
      <c r="F22" s="155"/>
      <c r="G22" s="155"/>
      <c r="H22" s="164"/>
      <c r="I22" s="164">
        <f>D22*H22</f>
        <v>0</v>
      </c>
    </row>
    <row r="23" spans="1:9" ht="12.75">
      <c r="A23" s="751" t="s">
        <v>187</v>
      </c>
      <c r="B23" s="752"/>
      <c r="C23" s="752"/>
      <c r="D23" s="752"/>
      <c r="E23" s="752"/>
      <c r="F23" s="752"/>
      <c r="G23" s="752"/>
      <c r="H23" s="753"/>
      <c r="I23" s="165">
        <f>SUM(I21:I22)</f>
        <v>319.68</v>
      </c>
    </row>
    <row r="24" spans="1:9" ht="12.75">
      <c r="A24" s="728" t="s">
        <v>195</v>
      </c>
      <c r="B24" s="729"/>
      <c r="C24" s="166">
        <v>1</v>
      </c>
      <c r="D24" s="728" t="s">
        <v>196</v>
      </c>
      <c r="E24" s="741"/>
      <c r="F24" s="741"/>
      <c r="G24" s="741"/>
      <c r="H24" s="729"/>
      <c r="I24" s="151">
        <f>I23+I18+I14+I9</f>
        <v>5540.88</v>
      </c>
    </row>
    <row r="25" spans="1:9" ht="12.75">
      <c r="A25" s="756" t="s">
        <v>197</v>
      </c>
      <c r="B25" s="757"/>
      <c r="C25" s="757"/>
      <c r="D25" s="757"/>
      <c r="E25" s="757"/>
      <c r="F25" s="757"/>
      <c r="G25" s="757"/>
      <c r="H25" s="758"/>
      <c r="I25" s="163">
        <f>I24/C24</f>
        <v>5540.88</v>
      </c>
    </row>
    <row r="26" spans="1:9" ht="12.75">
      <c r="A26" s="756" t="s">
        <v>198</v>
      </c>
      <c r="B26" s="757"/>
      <c r="C26" s="757"/>
      <c r="D26" s="757"/>
      <c r="E26" s="757"/>
      <c r="F26" s="757"/>
      <c r="G26" s="757"/>
      <c r="H26" s="758"/>
      <c r="I26" s="163">
        <v>1</v>
      </c>
    </row>
    <row r="27" spans="1:9" ht="12.75">
      <c r="A27" s="863" t="s">
        <v>199</v>
      </c>
      <c r="B27" s="864"/>
      <c r="C27" s="864"/>
      <c r="D27" s="864"/>
      <c r="E27" s="864"/>
      <c r="F27" s="864"/>
      <c r="G27" s="864"/>
      <c r="H27" s="865"/>
      <c r="I27" s="167">
        <f>I25*I26</f>
        <v>5540.88</v>
      </c>
    </row>
    <row r="28" spans="1:9" ht="11.25" customHeight="1">
      <c r="A28" s="730"/>
      <c r="B28" s="747"/>
      <c r="C28" s="747"/>
      <c r="D28" s="747"/>
      <c r="E28" s="747"/>
      <c r="F28" s="747"/>
      <c r="G28" s="747"/>
      <c r="H28" s="747"/>
      <c r="I28" s="731"/>
    </row>
    <row r="29" spans="1:9" ht="15" customHeight="1">
      <c r="A29" s="866"/>
      <c r="B29" s="867"/>
      <c r="C29" s="868" t="s">
        <v>171</v>
      </c>
      <c r="D29" s="869"/>
      <c r="E29" s="869"/>
      <c r="F29" s="869"/>
      <c r="G29" s="869"/>
      <c r="H29" s="870"/>
      <c r="I29" s="140" t="s">
        <v>200</v>
      </c>
    </row>
    <row r="30" spans="1:9" ht="12.75">
      <c r="A30" s="730" t="s">
        <v>173</v>
      </c>
      <c r="B30" s="747"/>
      <c r="C30" s="747"/>
      <c r="D30" s="747"/>
      <c r="E30" s="747"/>
      <c r="F30" s="747"/>
      <c r="G30" s="731"/>
      <c r="H30" s="141" t="s">
        <v>174</v>
      </c>
      <c r="I30" s="142">
        <v>42917</v>
      </c>
    </row>
    <row r="31" spans="1:9" ht="12.75" customHeight="1">
      <c r="A31" s="754" t="s">
        <v>201</v>
      </c>
      <c r="B31" s="858"/>
      <c r="C31" s="858"/>
      <c r="D31" s="858"/>
      <c r="E31" s="858"/>
      <c r="F31" s="858"/>
      <c r="G31" s="755"/>
      <c r="H31" s="143" t="s">
        <v>176</v>
      </c>
      <c r="I31" s="148" t="s">
        <v>151</v>
      </c>
    </row>
    <row r="32" spans="1:9" ht="12.75">
      <c r="A32" s="738" t="s">
        <v>178</v>
      </c>
      <c r="B32" s="739"/>
      <c r="C32" s="739"/>
      <c r="D32" s="739"/>
      <c r="E32" s="739"/>
      <c r="F32" s="739"/>
      <c r="G32" s="739"/>
      <c r="H32" s="739"/>
      <c r="I32" s="740"/>
    </row>
    <row r="33" spans="1:9" ht="12.75">
      <c r="A33" s="730" t="s">
        <v>179</v>
      </c>
      <c r="B33" s="731"/>
      <c r="C33" s="145" t="s">
        <v>180</v>
      </c>
      <c r="D33" s="146" t="s">
        <v>181</v>
      </c>
      <c r="E33" s="146" t="s">
        <v>182</v>
      </c>
      <c r="F33" s="146" t="s">
        <v>183</v>
      </c>
      <c r="G33" s="146" t="s">
        <v>184</v>
      </c>
      <c r="H33" s="147" t="s">
        <v>185</v>
      </c>
      <c r="I33" s="145" t="s">
        <v>186</v>
      </c>
    </row>
    <row r="34" spans="1:9" ht="12.75">
      <c r="A34" s="859"/>
      <c r="B34" s="860"/>
      <c r="C34" s="148"/>
      <c r="D34" s="148"/>
      <c r="E34" s="148"/>
      <c r="F34" s="149"/>
      <c r="G34" s="149"/>
      <c r="H34" s="150"/>
      <c r="I34" s="150">
        <f>G34*D34</f>
        <v>0</v>
      </c>
    </row>
    <row r="35" spans="1:9" ht="12.75">
      <c r="A35" s="728" t="s">
        <v>187</v>
      </c>
      <c r="B35" s="741"/>
      <c r="C35" s="741"/>
      <c r="D35" s="741"/>
      <c r="E35" s="741"/>
      <c r="F35" s="741"/>
      <c r="G35" s="741"/>
      <c r="H35" s="729"/>
      <c r="I35" s="151">
        <f>SUM(I34)</f>
        <v>0</v>
      </c>
    </row>
    <row r="36" spans="1:9" ht="12.75">
      <c r="A36" s="738" t="s">
        <v>188</v>
      </c>
      <c r="B36" s="739"/>
      <c r="C36" s="739"/>
      <c r="D36" s="739"/>
      <c r="E36" s="739"/>
      <c r="F36" s="739"/>
      <c r="G36" s="739"/>
      <c r="H36" s="739"/>
      <c r="I36" s="740"/>
    </row>
    <row r="37" spans="1:9" ht="12.75">
      <c r="A37" s="738" t="s">
        <v>179</v>
      </c>
      <c r="B37" s="740"/>
      <c r="C37" s="148" t="s">
        <v>180</v>
      </c>
      <c r="D37" s="149" t="s">
        <v>181</v>
      </c>
      <c r="E37" s="149" t="s">
        <v>45</v>
      </c>
      <c r="F37" s="149"/>
      <c r="G37" s="149"/>
      <c r="H37" s="148" t="s">
        <v>189</v>
      </c>
      <c r="I37" s="148" t="s">
        <v>186</v>
      </c>
    </row>
    <row r="38" spans="1:9" s="158" customFormat="1" ht="21.75" customHeight="1">
      <c r="A38" s="742" t="s">
        <v>202</v>
      </c>
      <c r="B38" s="743"/>
      <c r="C38" s="152" t="s">
        <v>153</v>
      </c>
      <c r="D38" s="153">
        <f>6.698/133.93</f>
        <v>0.05001119988053461</v>
      </c>
      <c r="E38" s="154">
        <v>93358</v>
      </c>
      <c r="F38" s="155"/>
      <c r="G38" s="155"/>
      <c r="H38" s="156">
        <v>48.26</v>
      </c>
      <c r="I38" s="157">
        <f>(D38*H38)</f>
        <v>2.4135405062346003</v>
      </c>
    </row>
    <row r="39" spans="1:9" ht="43.5" customHeight="1">
      <c r="A39" s="742" t="s">
        <v>130</v>
      </c>
      <c r="B39" s="743"/>
      <c r="C39" s="152" t="s">
        <v>153</v>
      </c>
      <c r="D39" s="153">
        <f>4.018/133.93</f>
        <v>0.030000746658702303</v>
      </c>
      <c r="E39" s="154">
        <v>94963</v>
      </c>
      <c r="F39" s="155"/>
      <c r="G39" s="155"/>
      <c r="H39" s="156">
        <v>234.35</v>
      </c>
      <c r="I39" s="157">
        <f>(D39*H39)</f>
        <v>7.030674979466885</v>
      </c>
    </row>
    <row r="40" spans="1:9" ht="40.5" customHeight="1">
      <c r="A40" s="742" t="s">
        <v>203</v>
      </c>
      <c r="B40" s="743"/>
      <c r="C40" s="152" t="s">
        <v>154</v>
      </c>
      <c r="D40" s="153">
        <f>53.57/133.93</f>
        <v>0.39998506682595386</v>
      </c>
      <c r="E40" s="154">
        <v>92265</v>
      </c>
      <c r="F40" s="155"/>
      <c r="G40" s="155"/>
      <c r="H40" s="156">
        <v>52.76</v>
      </c>
      <c r="I40" s="157">
        <f>(D40*H40)</f>
        <v>21.103212125737326</v>
      </c>
    </row>
    <row r="41" spans="1:9" ht="24.75" customHeight="1">
      <c r="A41" s="742" t="s">
        <v>204</v>
      </c>
      <c r="B41" s="743"/>
      <c r="C41" s="152" t="s">
        <v>153</v>
      </c>
      <c r="D41" s="153">
        <f>2.51/133.93</f>
        <v>0.0187411334279101</v>
      </c>
      <c r="E41" s="154" t="s">
        <v>205</v>
      </c>
      <c r="F41" s="155"/>
      <c r="G41" s="155"/>
      <c r="H41" s="156">
        <v>36.6</v>
      </c>
      <c r="I41" s="157">
        <f>(D41*H41)</f>
        <v>0.6859254834615097</v>
      </c>
    </row>
    <row r="42" spans="1:9" ht="12.75">
      <c r="A42" s="751" t="s">
        <v>187</v>
      </c>
      <c r="B42" s="752"/>
      <c r="C42" s="752"/>
      <c r="D42" s="752"/>
      <c r="E42" s="752"/>
      <c r="F42" s="752"/>
      <c r="G42" s="752"/>
      <c r="H42" s="753"/>
      <c r="I42" s="150">
        <f>SUM(I38:I41)</f>
        <v>31.23335309490032</v>
      </c>
    </row>
    <row r="43" spans="1:9" ht="12.75">
      <c r="A43" s="738" t="s">
        <v>193</v>
      </c>
      <c r="B43" s="739"/>
      <c r="C43" s="739"/>
      <c r="D43" s="739"/>
      <c r="E43" s="739"/>
      <c r="F43" s="739"/>
      <c r="G43" s="739"/>
      <c r="H43" s="739"/>
      <c r="I43" s="740"/>
    </row>
    <row r="44" spans="1:9" ht="12.75">
      <c r="A44" s="730" t="s">
        <v>179</v>
      </c>
      <c r="B44" s="731"/>
      <c r="C44" s="159" t="s">
        <v>180</v>
      </c>
      <c r="D44" s="159" t="s">
        <v>181</v>
      </c>
      <c r="E44" s="159" t="s">
        <v>45</v>
      </c>
      <c r="F44" s="159"/>
      <c r="G44" s="159"/>
      <c r="H44" s="148" t="s">
        <v>189</v>
      </c>
      <c r="I44" s="160" t="s">
        <v>186</v>
      </c>
    </row>
    <row r="45" spans="1:9" ht="12.75">
      <c r="A45" s="161"/>
      <c r="B45" s="162"/>
      <c r="C45" s="159"/>
      <c r="D45" s="159"/>
      <c r="E45" s="159"/>
      <c r="F45" s="159"/>
      <c r="G45" s="159"/>
      <c r="H45" s="148"/>
      <c r="I45" s="150">
        <f>D45*H45</f>
        <v>0</v>
      </c>
    </row>
    <row r="46" spans="1:9" ht="15.75" customHeight="1">
      <c r="A46" s="728" t="s">
        <v>187</v>
      </c>
      <c r="B46" s="741"/>
      <c r="C46" s="741"/>
      <c r="D46" s="741"/>
      <c r="E46" s="741"/>
      <c r="F46" s="741"/>
      <c r="G46" s="741"/>
      <c r="H46" s="729"/>
      <c r="I46" s="163">
        <f>SUM(I45)</f>
        <v>0</v>
      </c>
    </row>
    <row r="47" spans="1:9" ht="12.75">
      <c r="A47" s="738" t="s">
        <v>194</v>
      </c>
      <c r="B47" s="739"/>
      <c r="C47" s="739"/>
      <c r="D47" s="739"/>
      <c r="E47" s="739"/>
      <c r="F47" s="739"/>
      <c r="G47" s="739"/>
      <c r="H47" s="739"/>
      <c r="I47" s="740"/>
    </row>
    <row r="48" spans="1:9" ht="12.75">
      <c r="A48" s="738" t="s">
        <v>179</v>
      </c>
      <c r="B48" s="740"/>
      <c r="C48" s="148" t="s">
        <v>180</v>
      </c>
      <c r="D48" s="149" t="s">
        <v>181</v>
      </c>
      <c r="E48" s="149" t="s">
        <v>45</v>
      </c>
      <c r="F48" s="149"/>
      <c r="G48" s="149"/>
      <c r="H48" s="148" t="s">
        <v>189</v>
      </c>
      <c r="I48" s="148" t="s">
        <v>186</v>
      </c>
    </row>
    <row r="49" spans="1:9" ht="15" customHeight="1">
      <c r="A49" s="742"/>
      <c r="B49" s="743"/>
      <c r="C49" s="156"/>
      <c r="D49" s="153"/>
      <c r="E49" s="156"/>
      <c r="F49" s="155"/>
      <c r="G49" s="155"/>
      <c r="H49" s="164"/>
      <c r="I49" s="164">
        <f>D49*H49</f>
        <v>0</v>
      </c>
    </row>
    <row r="50" spans="1:9" ht="12.75">
      <c r="A50" s="751" t="s">
        <v>187</v>
      </c>
      <c r="B50" s="752"/>
      <c r="C50" s="752"/>
      <c r="D50" s="752"/>
      <c r="E50" s="752"/>
      <c r="F50" s="752"/>
      <c r="G50" s="752"/>
      <c r="H50" s="753"/>
      <c r="I50" s="165">
        <f>SUM(I49:I49)</f>
        <v>0</v>
      </c>
    </row>
    <row r="51" spans="1:9" ht="12.75">
      <c r="A51" s="728" t="s">
        <v>195</v>
      </c>
      <c r="B51" s="729"/>
      <c r="C51" s="166">
        <v>1</v>
      </c>
      <c r="D51" s="728" t="s">
        <v>196</v>
      </c>
      <c r="E51" s="741"/>
      <c r="F51" s="741"/>
      <c r="G51" s="741"/>
      <c r="H51" s="729"/>
      <c r="I51" s="151">
        <f>I50+I46+I42+I35</f>
        <v>31.23335309490032</v>
      </c>
    </row>
    <row r="52" spans="1:9" ht="12.75">
      <c r="A52" s="756" t="s">
        <v>197</v>
      </c>
      <c r="B52" s="757"/>
      <c r="C52" s="757"/>
      <c r="D52" s="757"/>
      <c r="E52" s="757"/>
      <c r="F52" s="757"/>
      <c r="G52" s="757"/>
      <c r="H52" s="758"/>
      <c r="I52" s="163">
        <f>I51/C51</f>
        <v>31.23335309490032</v>
      </c>
    </row>
    <row r="53" spans="1:9" ht="12.75">
      <c r="A53" s="756" t="s">
        <v>198</v>
      </c>
      <c r="B53" s="757"/>
      <c r="C53" s="757"/>
      <c r="D53" s="757"/>
      <c r="E53" s="757"/>
      <c r="F53" s="757"/>
      <c r="G53" s="757"/>
      <c r="H53" s="758"/>
      <c r="I53" s="163">
        <v>1</v>
      </c>
    </row>
    <row r="54" spans="1:9" ht="12.75">
      <c r="A54" s="863" t="s">
        <v>199</v>
      </c>
      <c r="B54" s="864"/>
      <c r="C54" s="864"/>
      <c r="D54" s="864"/>
      <c r="E54" s="864"/>
      <c r="F54" s="864"/>
      <c r="G54" s="864"/>
      <c r="H54" s="865"/>
      <c r="I54" s="167">
        <f>I52*I53</f>
        <v>31.23335309490032</v>
      </c>
    </row>
    <row r="55" spans="1:9" ht="15" customHeight="1">
      <c r="A55" s="871"/>
      <c r="B55" s="776"/>
      <c r="C55" s="776"/>
      <c r="D55" s="776"/>
      <c r="E55" s="776"/>
      <c r="F55" s="776"/>
      <c r="G55" s="776"/>
      <c r="H55" s="776"/>
      <c r="I55" s="872"/>
    </row>
    <row r="56" spans="1:9" ht="15" customHeight="1">
      <c r="A56" s="866"/>
      <c r="B56" s="867"/>
      <c r="C56" s="868" t="s">
        <v>171</v>
      </c>
      <c r="D56" s="869"/>
      <c r="E56" s="869"/>
      <c r="F56" s="869"/>
      <c r="G56" s="869"/>
      <c r="H56" s="870"/>
      <c r="I56" s="140" t="s">
        <v>206</v>
      </c>
    </row>
    <row r="57" spans="1:9" ht="12.75">
      <c r="A57" s="730" t="s">
        <v>173</v>
      </c>
      <c r="B57" s="747"/>
      <c r="C57" s="747"/>
      <c r="D57" s="747"/>
      <c r="E57" s="747"/>
      <c r="F57" s="747"/>
      <c r="G57" s="731"/>
      <c r="H57" s="141" t="s">
        <v>174</v>
      </c>
      <c r="I57" s="142">
        <v>42917</v>
      </c>
    </row>
    <row r="58" spans="1:9" ht="26.25" customHeight="1">
      <c r="A58" s="754" t="s">
        <v>126</v>
      </c>
      <c r="B58" s="858"/>
      <c r="C58" s="858"/>
      <c r="D58" s="858"/>
      <c r="E58" s="858"/>
      <c r="F58" s="858"/>
      <c r="G58" s="755"/>
      <c r="H58" s="143" t="s">
        <v>176</v>
      </c>
      <c r="I58" s="148" t="s">
        <v>154</v>
      </c>
    </row>
    <row r="59" spans="1:9" ht="12.75">
      <c r="A59" s="738" t="s">
        <v>178</v>
      </c>
      <c r="B59" s="739"/>
      <c r="C59" s="739"/>
      <c r="D59" s="739"/>
      <c r="E59" s="739"/>
      <c r="F59" s="739"/>
      <c r="G59" s="739"/>
      <c r="H59" s="739"/>
      <c r="I59" s="740"/>
    </row>
    <row r="60" spans="1:9" ht="12.75">
      <c r="A60" s="730" t="s">
        <v>179</v>
      </c>
      <c r="B60" s="731"/>
      <c r="C60" s="145" t="s">
        <v>180</v>
      </c>
      <c r="D60" s="146" t="s">
        <v>181</v>
      </c>
      <c r="E60" s="146" t="s">
        <v>182</v>
      </c>
      <c r="F60" s="146" t="s">
        <v>183</v>
      </c>
      <c r="G60" s="146" t="s">
        <v>184</v>
      </c>
      <c r="H60" s="147" t="s">
        <v>185</v>
      </c>
      <c r="I60" s="145" t="s">
        <v>186</v>
      </c>
    </row>
    <row r="61" spans="1:9" ht="12.75">
      <c r="A61" s="859"/>
      <c r="B61" s="860"/>
      <c r="C61" s="148"/>
      <c r="D61" s="148"/>
      <c r="E61" s="148"/>
      <c r="F61" s="149"/>
      <c r="G61" s="149"/>
      <c r="H61" s="150"/>
      <c r="I61" s="150">
        <f>G61*D61</f>
        <v>0</v>
      </c>
    </row>
    <row r="62" spans="1:9" ht="12.75">
      <c r="A62" s="728" t="s">
        <v>187</v>
      </c>
      <c r="B62" s="741"/>
      <c r="C62" s="741"/>
      <c r="D62" s="741"/>
      <c r="E62" s="741"/>
      <c r="F62" s="741"/>
      <c r="G62" s="741"/>
      <c r="H62" s="729"/>
      <c r="I62" s="151">
        <f>SUM(I61)</f>
        <v>0</v>
      </c>
    </row>
    <row r="63" spans="1:9" ht="12.75">
      <c r="A63" s="738" t="s">
        <v>188</v>
      </c>
      <c r="B63" s="739"/>
      <c r="C63" s="739"/>
      <c r="D63" s="739"/>
      <c r="E63" s="739"/>
      <c r="F63" s="739"/>
      <c r="G63" s="739"/>
      <c r="H63" s="739"/>
      <c r="I63" s="740"/>
    </row>
    <row r="64" spans="1:9" ht="12.75">
      <c r="A64" s="738" t="s">
        <v>179</v>
      </c>
      <c r="B64" s="740"/>
      <c r="C64" s="148" t="s">
        <v>180</v>
      </c>
      <c r="D64" s="149" t="s">
        <v>181</v>
      </c>
      <c r="E64" s="149" t="s">
        <v>45</v>
      </c>
      <c r="F64" s="149"/>
      <c r="G64" s="149"/>
      <c r="H64" s="148" t="s">
        <v>189</v>
      </c>
      <c r="I64" s="148" t="s">
        <v>186</v>
      </c>
    </row>
    <row r="65" spans="1:9" s="158" customFormat="1" ht="21.75" customHeight="1">
      <c r="A65" s="742" t="s">
        <v>207</v>
      </c>
      <c r="B65" s="743"/>
      <c r="C65" s="152" t="s">
        <v>208</v>
      </c>
      <c r="D65" s="153">
        <v>14.58</v>
      </c>
      <c r="E65" s="154">
        <v>1379</v>
      </c>
      <c r="F65" s="155"/>
      <c r="G65" s="155"/>
      <c r="H65" s="168">
        <v>0.37</v>
      </c>
      <c r="I65" s="157">
        <f>(D65*H65)</f>
        <v>5.3946</v>
      </c>
    </row>
    <row r="66" spans="1:9" ht="43.5" customHeight="1">
      <c r="A66" s="742" t="s">
        <v>209</v>
      </c>
      <c r="B66" s="743"/>
      <c r="C66" s="152" t="s">
        <v>153</v>
      </c>
      <c r="D66" s="153">
        <v>0.0366</v>
      </c>
      <c r="E66" s="154">
        <v>366</v>
      </c>
      <c r="F66" s="155"/>
      <c r="G66" s="155"/>
      <c r="H66" s="168">
        <v>59.86</v>
      </c>
      <c r="I66" s="157">
        <f>(D66*H66)</f>
        <v>2.190876</v>
      </c>
    </row>
    <row r="67" spans="1:9" ht="40.5" customHeight="1">
      <c r="A67" s="742" t="s">
        <v>288</v>
      </c>
      <c r="B67" s="743"/>
      <c r="C67" s="152" t="s">
        <v>154</v>
      </c>
      <c r="D67" s="153">
        <v>1</v>
      </c>
      <c r="E67" s="154" t="s">
        <v>210</v>
      </c>
      <c r="F67" s="155"/>
      <c r="G67" s="155"/>
      <c r="H67" s="168">
        <v>38.5</v>
      </c>
      <c r="I67" s="157">
        <f>(D67*H67)</f>
        <v>38.5</v>
      </c>
    </row>
    <row r="68" spans="1:9" ht="40.5" customHeight="1">
      <c r="A68" s="742" t="s">
        <v>211</v>
      </c>
      <c r="B68" s="743"/>
      <c r="C68" s="152" t="s">
        <v>208</v>
      </c>
      <c r="D68" s="153">
        <v>0.6</v>
      </c>
      <c r="E68" s="154">
        <v>7325</v>
      </c>
      <c r="F68" s="155"/>
      <c r="G68" s="155"/>
      <c r="H68" s="168">
        <v>4.34</v>
      </c>
      <c r="I68" s="157">
        <f>(D68*H68)</f>
        <v>2.6039999999999996</v>
      </c>
    </row>
    <row r="69" spans="1:9" ht="12.75">
      <c r="A69" s="751" t="s">
        <v>187</v>
      </c>
      <c r="B69" s="752"/>
      <c r="C69" s="752"/>
      <c r="D69" s="752"/>
      <c r="E69" s="752"/>
      <c r="F69" s="752"/>
      <c r="G69" s="752"/>
      <c r="H69" s="753"/>
      <c r="I69" s="150">
        <f>SUM(I65:I68)</f>
        <v>48.689476</v>
      </c>
    </row>
    <row r="70" spans="1:9" ht="12.75">
      <c r="A70" s="738" t="s">
        <v>193</v>
      </c>
      <c r="B70" s="739"/>
      <c r="C70" s="739"/>
      <c r="D70" s="739"/>
      <c r="E70" s="739"/>
      <c r="F70" s="739"/>
      <c r="G70" s="739"/>
      <c r="H70" s="739"/>
      <c r="I70" s="740"/>
    </row>
    <row r="71" spans="1:9" ht="12.75">
      <c r="A71" s="730" t="s">
        <v>179</v>
      </c>
      <c r="B71" s="731"/>
      <c r="C71" s="159" t="s">
        <v>180</v>
      </c>
      <c r="D71" s="159" t="s">
        <v>181</v>
      </c>
      <c r="E71" s="159" t="s">
        <v>45</v>
      </c>
      <c r="F71" s="159"/>
      <c r="G71" s="159"/>
      <c r="H71" s="148" t="s">
        <v>189</v>
      </c>
      <c r="I71" s="160" t="s">
        <v>186</v>
      </c>
    </row>
    <row r="72" spans="1:9" ht="15" customHeight="1">
      <c r="A72" s="742" t="s">
        <v>212</v>
      </c>
      <c r="B72" s="743"/>
      <c r="C72" s="156" t="s">
        <v>191</v>
      </c>
      <c r="D72" s="159">
        <v>0.64</v>
      </c>
      <c r="E72" s="159">
        <v>4750</v>
      </c>
      <c r="F72" s="159"/>
      <c r="G72" s="159"/>
      <c r="H72" s="168">
        <v>13.73</v>
      </c>
      <c r="I72" s="150">
        <f>D72*H72</f>
        <v>8.7872</v>
      </c>
    </row>
    <row r="73" spans="1:9" ht="15" customHeight="1">
      <c r="A73" s="742" t="s">
        <v>213</v>
      </c>
      <c r="B73" s="743"/>
      <c r="C73" s="156" t="s">
        <v>191</v>
      </c>
      <c r="D73" s="159">
        <v>0.26</v>
      </c>
      <c r="E73" s="159">
        <v>6127</v>
      </c>
      <c r="F73" s="159"/>
      <c r="G73" s="159"/>
      <c r="H73" s="168">
        <v>9.99</v>
      </c>
      <c r="I73" s="150">
        <f>D73*H73</f>
        <v>2.5974</v>
      </c>
    </row>
    <row r="74" spans="1:9" ht="15.75" customHeight="1">
      <c r="A74" s="728" t="s">
        <v>187</v>
      </c>
      <c r="B74" s="741"/>
      <c r="C74" s="741"/>
      <c r="D74" s="741"/>
      <c r="E74" s="741"/>
      <c r="F74" s="741"/>
      <c r="G74" s="741"/>
      <c r="H74" s="729"/>
      <c r="I74" s="163">
        <f>SUM(I72:I73)</f>
        <v>11.3846</v>
      </c>
    </row>
    <row r="75" spans="1:9" ht="12.75">
      <c r="A75" s="738" t="s">
        <v>194</v>
      </c>
      <c r="B75" s="739"/>
      <c r="C75" s="739"/>
      <c r="D75" s="739"/>
      <c r="E75" s="739"/>
      <c r="F75" s="739"/>
      <c r="G75" s="739"/>
      <c r="H75" s="739"/>
      <c r="I75" s="740"/>
    </row>
    <row r="76" spans="1:9" ht="12.75">
      <c r="A76" s="738" t="s">
        <v>179</v>
      </c>
      <c r="B76" s="740"/>
      <c r="C76" s="148" t="s">
        <v>180</v>
      </c>
      <c r="D76" s="149" t="s">
        <v>181</v>
      </c>
      <c r="E76" s="149" t="s">
        <v>45</v>
      </c>
      <c r="F76" s="149"/>
      <c r="G76" s="149"/>
      <c r="H76" s="148" t="s">
        <v>189</v>
      </c>
      <c r="I76" s="148" t="s">
        <v>186</v>
      </c>
    </row>
    <row r="77" spans="1:9" ht="15" customHeight="1">
      <c r="A77" s="742"/>
      <c r="B77" s="743"/>
      <c r="C77" s="156"/>
      <c r="D77" s="153"/>
      <c r="E77" s="156"/>
      <c r="F77" s="155"/>
      <c r="G77" s="155"/>
      <c r="H77" s="164"/>
      <c r="I77" s="164">
        <f>D77*H77</f>
        <v>0</v>
      </c>
    </row>
    <row r="78" spans="1:9" ht="12.75">
      <c r="A78" s="751" t="s">
        <v>187</v>
      </c>
      <c r="B78" s="752"/>
      <c r="C78" s="752"/>
      <c r="D78" s="752"/>
      <c r="E78" s="752"/>
      <c r="F78" s="752"/>
      <c r="G78" s="752"/>
      <c r="H78" s="753"/>
      <c r="I78" s="165">
        <f>SUM(I77:I77)</f>
        <v>0</v>
      </c>
    </row>
    <row r="79" spans="1:9" ht="12.75">
      <c r="A79" s="728" t="s">
        <v>195</v>
      </c>
      <c r="B79" s="729"/>
      <c r="C79" s="166">
        <v>1</v>
      </c>
      <c r="D79" s="728" t="s">
        <v>196</v>
      </c>
      <c r="E79" s="741"/>
      <c r="F79" s="741"/>
      <c r="G79" s="741"/>
      <c r="H79" s="729"/>
      <c r="I79" s="151">
        <f>I78+I74+I69+I62</f>
        <v>60.074076</v>
      </c>
    </row>
    <row r="80" spans="1:9" ht="12.75">
      <c r="A80" s="756" t="s">
        <v>197</v>
      </c>
      <c r="B80" s="757"/>
      <c r="C80" s="757"/>
      <c r="D80" s="757"/>
      <c r="E80" s="757"/>
      <c r="F80" s="757"/>
      <c r="G80" s="757"/>
      <c r="H80" s="758"/>
      <c r="I80" s="163">
        <f>I79/C79</f>
        <v>60.074076</v>
      </c>
    </row>
    <row r="81" spans="1:9" ht="12.75">
      <c r="A81" s="756" t="s">
        <v>198</v>
      </c>
      <c r="B81" s="757"/>
      <c r="C81" s="757"/>
      <c r="D81" s="757"/>
      <c r="E81" s="757"/>
      <c r="F81" s="757"/>
      <c r="G81" s="757"/>
      <c r="H81" s="758"/>
      <c r="I81" s="163">
        <v>1</v>
      </c>
    </row>
    <row r="82" spans="1:9" ht="12.75">
      <c r="A82" s="863" t="s">
        <v>199</v>
      </c>
      <c r="B82" s="864"/>
      <c r="C82" s="864"/>
      <c r="D82" s="864"/>
      <c r="E82" s="864"/>
      <c r="F82" s="864"/>
      <c r="G82" s="864"/>
      <c r="H82" s="865"/>
      <c r="I82" s="167">
        <f>I80*I81</f>
        <v>60.074076</v>
      </c>
    </row>
    <row r="83" spans="1:9" ht="12.75">
      <c r="A83" s="871"/>
      <c r="B83" s="776"/>
      <c r="C83" s="776"/>
      <c r="D83" s="776"/>
      <c r="E83" s="776"/>
      <c r="F83" s="776"/>
      <c r="G83" s="776"/>
      <c r="H83" s="776"/>
      <c r="I83" s="872"/>
    </row>
    <row r="84" spans="1:9" ht="15" customHeight="1">
      <c r="A84" s="866"/>
      <c r="B84" s="867"/>
      <c r="C84" s="868" t="s">
        <v>171</v>
      </c>
      <c r="D84" s="869"/>
      <c r="E84" s="869"/>
      <c r="F84" s="869"/>
      <c r="G84" s="869"/>
      <c r="H84" s="870"/>
      <c r="I84" s="140" t="s">
        <v>214</v>
      </c>
    </row>
    <row r="85" spans="1:9" ht="12.75">
      <c r="A85" s="730" t="s">
        <v>173</v>
      </c>
      <c r="B85" s="747"/>
      <c r="C85" s="747"/>
      <c r="D85" s="747"/>
      <c r="E85" s="747"/>
      <c r="F85" s="747"/>
      <c r="G85" s="731"/>
      <c r="H85" s="141" t="s">
        <v>174</v>
      </c>
      <c r="I85" s="142">
        <v>42917</v>
      </c>
    </row>
    <row r="86" spans="1:9" ht="26.25" customHeight="1">
      <c r="A86" s="754" t="s">
        <v>127</v>
      </c>
      <c r="B86" s="858"/>
      <c r="C86" s="858"/>
      <c r="D86" s="858"/>
      <c r="E86" s="858"/>
      <c r="F86" s="858"/>
      <c r="G86" s="755"/>
      <c r="H86" s="143" t="s">
        <v>176</v>
      </c>
      <c r="I86" s="148" t="s">
        <v>154</v>
      </c>
    </row>
    <row r="87" spans="1:9" ht="12.75">
      <c r="A87" s="738" t="s">
        <v>178</v>
      </c>
      <c r="B87" s="739"/>
      <c r="C87" s="739"/>
      <c r="D87" s="739"/>
      <c r="E87" s="739"/>
      <c r="F87" s="739"/>
      <c r="G87" s="739"/>
      <c r="H87" s="739"/>
      <c r="I87" s="740"/>
    </row>
    <row r="88" spans="1:9" ht="12.75">
      <c r="A88" s="730" t="s">
        <v>179</v>
      </c>
      <c r="B88" s="731"/>
      <c r="C88" s="145" t="s">
        <v>180</v>
      </c>
      <c r="D88" s="146" t="s">
        <v>181</v>
      </c>
      <c r="E88" s="146" t="s">
        <v>182</v>
      </c>
      <c r="F88" s="146" t="s">
        <v>183</v>
      </c>
      <c r="G88" s="146" t="s">
        <v>184</v>
      </c>
      <c r="H88" s="147" t="s">
        <v>185</v>
      </c>
      <c r="I88" s="145" t="s">
        <v>186</v>
      </c>
    </row>
    <row r="89" spans="1:9" ht="12.75">
      <c r="A89" s="859"/>
      <c r="B89" s="860"/>
      <c r="C89" s="148"/>
      <c r="D89" s="148"/>
      <c r="E89" s="148"/>
      <c r="F89" s="149"/>
      <c r="G89" s="149"/>
      <c r="H89" s="150"/>
      <c r="I89" s="150">
        <f>G89*D89</f>
        <v>0</v>
      </c>
    </row>
    <row r="90" spans="1:9" ht="12.75">
      <c r="A90" s="728" t="s">
        <v>187</v>
      </c>
      <c r="B90" s="741"/>
      <c r="C90" s="741"/>
      <c r="D90" s="741"/>
      <c r="E90" s="741"/>
      <c r="F90" s="741"/>
      <c r="G90" s="741"/>
      <c r="H90" s="729"/>
      <c r="I90" s="151">
        <f>SUM(I89)</f>
        <v>0</v>
      </c>
    </row>
    <row r="91" spans="1:9" ht="12.75">
      <c r="A91" s="738" t="s">
        <v>188</v>
      </c>
      <c r="B91" s="739"/>
      <c r="C91" s="739"/>
      <c r="D91" s="739"/>
      <c r="E91" s="739"/>
      <c r="F91" s="739"/>
      <c r="G91" s="739"/>
      <c r="H91" s="739"/>
      <c r="I91" s="740"/>
    </row>
    <row r="92" spans="1:9" ht="12.75">
      <c r="A92" s="738" t="s">
        <v>179</v>
      </c>
      <c r="B92" s="740"/>
      <c r="C92" s="148" t="s">
        <v>180</v>
      </c>
      <c r="D92" s="149" t="s">
        <v>181</v>
      </c>
      <c r="E92" s="149" t="s">
        <v>45</v>
      </c>
      <c r="F92" s="149"/>
      <c r="G92" s="149"/>
      <c r="H92" s="148" t="s">
        <v>189</v>
      </c>
      <c r="I92" s="148" t="s">
        <v>186</v>
      </c>
    </row>
    <row r="93" spans="1:9" s="158" customFormat="1" ht="21.75" customHeight="1">
      <c r="A93" s="742" t="s">
        <v>207</v>
      </c>
      <c r="B93" s="743"/>
      <c r="C93" s="152" t="s">
        <v>208</v>
      </c>
      <c r="D93" s="153">
        <v>14.58</v>
      </c>
      <c r="E93" s="154">
        <v>1379</v>
      </c>
      <c r="F93" s="155"/>
      <c r="G93" s="155"/>
      <c r="H93" s="168">
        <v>0.37</v>
      </c>
      <c r="I93" s="157">
        <f>(D93*H93)</f>
        <v>5.3946</v>
      </c>
    </row>
    <row r="94" spans="1:9" ht="43.5" customHeight="1">
      <c r="A94" s="742" t="s">
        <v>209</v>
      </c>
      <c r="B94" s="743"/>
      <c r="C94" s="152" t="s">
        <v>153</v>
      </c>
      <c r="D94" s="153">
        <v>0.0366</v>
      </c>
      <c r="E94" s="154">
        <v>366</v>
      </c>
      <c r="F94" s="155"/>
      <c r="G94" s="155"/>
      <c r="H94" s="168">
        <v>59.86</v>
      </c>
      <c r="I94" s="157">
        <f>(D94*H94)</f>
        <v>2.190876</v>
      </c>
    </row>
    <row r="95" spans="1:9" ht="40.5" customHeight="1">
      <c r="A95" s="742" t="s">
        <v>289</v>
      </c>
      <c r="B95" s="743"/>
      <c r="C95" s="152" t="s">
        <v>154</v>
      </c>
      <c r="D95" s="153">
        <v>1</v>
      </c>
      <c r="E95" s="154" t="s">
        <v>210</v>
      </c>
      <c r="F95" s="155"/>
      <c r="G95" s="155"/>
      <c r="H95" s="168">
        <v>52.2</v>
      </c>
      <c r="I95" s="157">
        <f>(D95*H95)</f>
        <v>52.2</v>
      </c>
    </row>
    <row r="96" spans="1:9" ht="40.5" customHeight="1">
      <c r="A96" s="742" t="s">
        <v>211</v>
      </c>
      <c r="B96" s="743"/>
      <c r="C96" s="152" t="s">
        <v>208</v>
      </c>
      <c r="D96" s="153">
        <v>0.6</v>
      </c>
      <c r="E96" s="154">
        <v>7325</v>
      </c>
      <c r="F96" s="155"/>
      <c r="G96" s="155"/>
      <c r="H96" s="168">
        <v>4.34</v>
      </c>
      <c r="I96" s="157">
        <f>(D96*H96)</f>
        <v>2.6039999999999996</v>
      </c>
    </row>
    <row r="97" spans="1:9" ht="12.75">
      <c r="A97" s="751" t="s">
        <v>187</v>
      </c>
      <c r="B97" s="752"/>
      <c r="C97" s="752"/>
      <c r="D97" s="752"/>
      <c r="E97" s="752"/>
      <c r="F97" s="752"/>
      <c r="G97" s="752"/>
      <c r="H97" s="753"/>
      <c r="I97" s="150">
        <f>SUM(I93:I96)</f>
        <v>62.389476</v>
      </c>
    </row>
    <row r="98" spans="1:9" ht="12.75">
      <c r="A98" s="738" t="s">
        <v>193</v>
      </c>
      <c r="B98" s="739"/>
      <c r="C98" s="739"/>
      <c r="D98" s="739"/>
      <c r="E98" s="739"/>
      <c r="F98" s="739"/>
      <c r="G98" s="739"/>
      <c r="H98" s="739"/>
      <c r="I98" s="740"/>
    </row>
    <row r="99" spans="1:9" ht="12.75">
      <c r="A99" s="730" t="s">
        <v>179</v>
      </c>
      <c r="B99" s="731"/>
      <c r="C99" s="159" t="s">
        <v>180</v>
      </c>
      <c r="D99" s="159" t="s">
        <v>181</v>
      </c>
      <c r="E99" s="159" t="s">
        <v>45</v>
      </c>
      <c r="F99" s="159"/>
      <c r="G99" s="159"/>
      <c r="H99" s="148" t="s">
        <v>189</v>
      </c>
      <c r="I99" s="160" t="s">
        <v>186</v>
      </c>
    </row>
    <row r="100" spans="1:9" ht="15" customHeight="1">
      <c r="A100" s="742" t="s">
        <v>212</v>
      </c>
      <c r="B100" s="743"/>
      <c r="C100" s="156" t="s">
        <v>191</v>
      </c>
      <c r="D100" s="159">
        <v>0.64</v>
      </c>
      <c r="E100" s="159">
        <v>4750</v>
      </c>
      <c r="F100" s="159"/>
      <c r="G100" s="159"/>
      <c r="H100" s="168">
        <v>13.73</v>
      </c>
      <c r="I100" s="150">
        <f>D100*H100</f>
        <v>8.7872</v>
      </c>
    </row>
    <row r="101" spans="1:9" ht="15" customHeight="1">
      <c r="A101" s="742" t="s">
        <v>213</v>
      </c>
      <c r="B101" s="743"/>
      <c r="C101" s="156" t="s">
        <v>191</v>
      </c>
      <c r="D101" s="159">
        <v>0.26</v>
      </c>
      <c r="E101" s="159">
        <v>6127</v>
      </c>
      <c r="F101" s="159"/>
      <c r="G101" s="159"/>
      <c r="H101" s="168">
        <v>9.99</v>
      </c>
      <c r="I101" s="150">
        <f>D101*H101</f>
        <v>2.5974</v>
      </c>
    </row>
    <row r="102" spans="1:9" ht="15.75" customHeight="1">
      <c r="A102" s="728" t="s">
        <v>187</v>
      </c>
      <c r="B102" s="741"/>
      <c r="C102" s="741"/>
      <c r="D102" s="741"/>
      <c r="E102" s="741"/>
      <c r="F102" s="741"/>
      <c r="G102" s="741"/>
      <c r="H102" s="729"/>
      <c r="I102" s="163">
        <f>SUM(I100:I101)</f>
        <v>11.3846</v>
      </c>
    </row>
    <row r="103" spans="1:9" ht="12.75">
      <c r="A103" s="738" t="s">
        <v>194</v>
      </c>
      <c r="B103" s="739"/>
      <c r="C103" s="739"/>
      <c r="D103" s="739"/>
      <c r="E103" s="739"/>
      <c r="F103" s="739"/>
      <c r="G103" s="739"/>
      <c r="H103" s="739"/>
      <c r="I103" s="740"/>
    </row>
    <row r="104" spans="1:9" ht="12.75">
      <c r="A104" s="738" t="s">
        <v>179</v>
      </c>
      <c r="B104" s="740"/>
      <c r="C104" s="148" t="s">
        <v>180</v>
      </c>
      <c r="D104" s="149" t="s">
        <v>181</v>
      </c>
      <c r="E104" s="149" t="s">
        <v>45</v>
      </c>
      <c r="F104" s="149"/>
      <c r="G104" s="149"/>
      <c r="H104" s="148" t="s">
        <v>189</v>
      </c>
      <c r="I104" s="148" t="s">
        <v>186</v>
      </c>
    </row>
    <row r="105" spans="1:9" ht="15" customHeight="1">
      <c r="A105" s="742"/>
      <c r="B105" s="743"/>
      <c r="C105" s="156"/>
      <c r="D105" s="153"/>
      <c r="E105" s="156"/>
      <c r="F105" s="155"/>
      <c r="G105" s="155"/>
      <c r="H105" s="164"/>
      <c r="I105" s="164">
        <f>D105*H105</f>
        <v>0</v>
      </c>
    </row>
    <row r="106" spans="1:9" ht="12.75">
      <c r="A106" s="751" t="s">
        <v>187</v>
      </c>
      <c r="B106" s="752"/>
      <c r="C106" s="752"/>
      <c r="D106" s="752"/>
      <c r="E106" s="752"/>
      <c r="F106" s="752"/>
      <c r="G106" s="752"/>
      <c r="H106" s="753"/>
      <c r="I106" s="165">
        <f>SUM(I105:I105)</f>
        <v>0</v>
      </c>
    </row>
    <row r="107" spans="1:9" ht="12.75">
      <c r="A107" s="728" t="s">
        <v>195</v>
      </c>
      <c r="B107" s="729"/>
      <c r="C107" s="166">
        <v>1</v>
      </c>
      <c r="D107" s="728" t="s">
        <v>196</v>
      </c>
      <c r="E107" s="741"/>
      <c r="F107" s="741"/>
      <c r="G107" s="741"/>
      <c r="H107" s="729"/>
      <c r="I107" s="151">
        <f>I106+I102+I97+I90</f>
        <v>73.77407600000001</v>
      </c>
    </row>
    <row r="108" spans="1:9" ht="12.75">
      <c r="A108" s="756" t="s">
        <v>197</v>
      </c>
      <c r="B108" s="757"/>
      <c r="C108" s="757"/>
      <c r="D108" s="757"/>
      <c r="E108" s="757"/>
      <c r="F108" s="757"/>
      <c r="G108" s="757"/>
      <c r="H108" s="758"/>
      <c r="I108" s="163">
        <f>I107/C107</f>
        <v>73.77407600000001</v>
      </c>
    </row>
    <row r="109" spans="1:9" ht="12.75">
      <c r="A109" s="756" t="s">
        <v>198</v>
      </c>
      <c r="B109" s="757"/>
      <c r="C109" s="757"/>
      <c r="D109" s="757"/>
      <c r="E109" s="757"/>
      <c r="F109" s="757"/>
      <c r="G109" s="757"/>
      <c r="H109" s="758"/>
      <c r="I109" s="163">
        <v>1</v>
      </c>
    </row>
    <row r="110" spans="1:9" ht="12.75">
      <c r="A110" s="863" t="s">
        <v>199</v>
      </c>
      <c r="B110" s="864"/>
      <c r="C110" s="864"/>
      <c r="D110" s="864"/>
      <c r="E110" s="864"/>
      <c r="F110" s="864"/>
      <c r="G110" s="864"/>
      <c r="H110" s="865"/>
      <c r="I110" s="169">
        <f>I108*I109</f>
        <v>73.77407600000001</v>
      </c>
    </row>
    <row r="111" spans="1:9" ht="12.75">
      <c r="A111" s="873"/>
      <c r="B111" s="874"/>
      <c r="C111" s="874"/>
      <c r="D111" s="874"/>
      <c r="E111" s="874"/>
      <c r="F111" s="874"/>
      <c r="G111" s="874"/>
      <c r="H111" s="874"/>
      <c r="I111" s="875"/>
    </row>
    <row r="112" spans="1:9" ht="15" customHeight="1">
      <c r="A112" s="866"/>
      <c r="B112" s="867"/>
      <c r="C112" s="868" t="s">
        <v>171</v>
      </c>
      <c r="D112" s="869"/>
      <c r="E112" s="869"/>
      <c r="F112" s="869"/>
      <c r="G112" s="869"/>
      <c r="H112" s="870"/>
      <c r="I112" s="140" t="s">
        <v>215</v>
      </c>
    </row>
    <row r="113" spans="1:9" ht="12.75">
      <c r="A113" s="730" t="s">
        <v>173</v>
      </c>
      <c r="B113" s="747"/>
      <c r="C113" s="747"/>
      <c r="D113" s="747"/>
      <c r="E113" s="747"/>
      <c r="F113" s="747"/>
      <c r="G113" s="731"/>
      <c r="H113" s="141" t="s">
        <v>174</v>
      </c>
      <c r="I113" s="142">
        <v>42917</v>
      </c>
    </row>
    <row r="114" spans="1:9" ht="26.25" customHeight="1">
      <c r="A114" s="754" t="s">
        <v>216</v>
      </c>
      <c r="B114" s="858"/>
      <c r="C114" s="858"/>
      <c r="D114" s="858"/>
      <c r="E114" s="858"/>
      <c r="F114" s="858"/>
      <c r="G114" s="755"/>
      <c r="H114" s="143" t="s">
        <v>176</v>
      </c>
      <c r="I114" s="148" t="s">
        <v>154</v>
      </c>
    </row>
    <row r="115" spans="1:9" ht="12.75">
      <c r="A115" s="738" t="s">
        <v>178</v>
      </c>
      <c r="B115" s="739"/>
      <c r="C115" s="739"/>
      <c r="D115" s="739"/>
      <c r="E115" s="739"/>
      <c r="F115" s="739"/>
      <c r="G115" s="739"/>
      <c r="H115" s="739"/>
      <c r="I115" s="740"/>
    </row>
    <row r="116" spans="1:9" ht="12.75">
      <c r="A116" s="730" t="s">
        <v>179</v>
      </c>
      <c r="B116" s="731"/>
      <c r="C116" s="145" t="s">
        <v>180</v>
      </c>
      <c r="D116" s="146" t="s">
        <v>181</v>
      </c>
      <c r="E116" s="146" t="s">
        <v>182</v>
      </c>
      <c r="F116" s="146" t="s">
        <v>183</v>
      </c>
      <c r="G116" s="146" t="s">
        <v>184</v>
      </c>
      <c r="H116" s="147" t="s">
        <v>185</v>
      </c>
      <c r="I116" s="145" t="s">
        <v>186</v>
      </c>
    </row>
    <row r="117" spans="1:9" ht="12.75">
      <c r="A117" s="859"/>
      <c r="B117" s="860"/>
      <c r="C117" s="148"/>
      <c r="D117" s="148"/>
      <c r="E117" s="148"/>
      <c r="F117" s="149"/>
      <c r="G117" s="149"/>
      <c r="H117" s="150"/>
      <c r="I117" s="150">
        <f>G117*D117</f>
        <v>0</v>
      </c>
    </row>
    <row r="118" spans="1:9" ht="12.75">
      <c r="A118" s="728" t="s">
        <v>187</v>
      </c>
      <c r="B118" s="741"/>
      <c r="C118" s="741"/>
      <c r="D118" s="741"/>
      <c r="E118" s="741"/>
      <c r="F118" s="741"/>
      <c r="G118" s="741"/>
      <c r="H118" s="729"/>
      <c r="I118" s="151">
        <f>SUM(I117)</f>
        <v>0</v>
      </c>
    </row>
    <row r="119" spans="1:9" ht="12.75">
      <c r="A119" s="738" t="s">
        <v>188</v>
      </c>
      <c r="B119" s="739"/>
      <c r="C119" s="739"/>
      <c r="D119" s="739"/>
      <c r="E119" s="739"/>
      <c r="F119" s="739"/>
      <c r="G119" s="739"/>
      <c r="H119" s="739"/>
      <c r="I119" s="740"/>
    </row>
    <row r="120" spans="1:9" ht="12.75">
      <c r="A120" s="738" t="s">
        <v>179</v>
      </c>
      <c r="B120" s="740"/>
      <c r="C120" s="148" t="s">
        <v>180</v>
      </c>
      <c r="D120" s="149" t="s">
        <v>181</v>
      </c>
      <c r="E120" s="149" t="s">
        <v>45</v>
      </c>
      <c r="F120" s="149"/>
      <c r="G120" s="149"/>
      <c r="H120" s="148" t="s">
        <v>189</v>
      </c>
      <c r="I120" s="148" t="s">
        <v>186</v>
      </c>
    </row>
    <row r="121" spans="1:9" s="158" customFormat="1" ht="21.75" customHeight="1">
      <c r="A121" s="742" t="s">
        <v>202</v>
      </c>
      <c r="B121" s="743"/>
      <c r="C121" s="152" t="s">
        <v>153</v>
      </c>
      <c r="D121" s="153">
        <f>1*1*0.2</f>
        <v>0.2</v>
      </c>
      <c r="E121" s="154">
        <v>93358</v>
      </c>
      <c r="F121" s="155"/>
      <c r="G121" s="155"/>
      <c r="H121" s="156">
        <v>48.26</v>
      </c>
      <c r="I121" s="157">
        <f>(D121*H121)</f>
        <v>9.652000000000001</v>
      </c>
    </row>
    <row r="122" spans="1:9" ht="43.5" customHeight="1">
      <c r="A122" s="742" t="s">
        <v>130</v>
      </c>
      <c r="B122" s="743"/>
      <c r="C122" s="152" t="s">
        <v>153</v>
      </c>
      <c r="D122" s="153">
        <f>1*1*0.1</f>
        <v>0.1</v>
      </c>
      <c r="E122" s="154">
        <v>94963</v>
      </c>
      <c r="F122" s="155"/>
      <c r="G122" s="155"/>
      <c r="H122" s="156">
        <v>234.35</v>
      </c>
      <c r="I122" s="157">
        <f>(D122*H122)</f>
        <v>23.435000000000002</v>
      </c>
    </row>
    <row r="123" spans="1:9" ht="40.5" customHeight="1">
      <c r="A123" s="742" t="s">
        <v>203</v>
      </c>
      <c r="B123" s="743"/>
      <c r="C123" s="152" t="s">
        <v>154</v>
      </c>
      <c r="D123" s="153">
        <f>1*0.1*4</f>
        <v>0.4</v>
      </c>
      <c r="E123" s="154">
        <v>92265</v>
      </c>
      <c r="F123" s="155"/>
      <c r="G123" s="155"/>
      <c r="H123" s="156">
        <v>52.76</v>
      </c>
      <c r="I123" s="157">
        <f>(D123*H123)</f>
        <v>21.104</v>
      </c>
    </row>
    <row r="124" spans="1:9" ht="40.5" customHeight="1">
      <c r="A124" s="742" t="s">
        <v>129</v>
      </c>
      <c r="B124" s="743"/>
      <c r="C124" s="152" t="s">
        <v>154</v>
      </c>
      <c r="D124" s="153">
        <f>1*1</f>
        <v>1</v>
      </c>
      <c r="E124" s="154">
        <v>84665</v>
      </c>
      <c r="F124" s="155"/>
      <c r="G124" s="155"/>
      <c r="H124" s="156">
        <v>16.32</v>
      </c>
      <c r="I124" s="157">
        <f>(D124*H124)</f>
        <v>16.32</v>
      </c>
    </row>
    <row r="125" spans="1:9" ht="12.75">
      <c r="A125" s="751" t="s">
        <v>187</v>
      </c>
      <c r="B125" s="752"/>
      <c r="C125" s="752"/>
      <c r="D125" s="752"/>
      <c r="E125" s="752"/>
      <c r="F125" s="752"/>
      <c r="G125" s="752"/>
      <c r="H125" s="753"/>
      <c r="I125" s="150">
        <f>SUM(I121:I124)</f>
        <v>70.511</v>
      </c>
    </row>
    <row r="126" spans="1:9" ht="12.75">
      <c r="A126" s="738" t="s">
        <v>193</v>
      </c>
      <c r="B126" s="739"/>
      <c r="C126" s="739"/>
      <c r="D126" s="739"/>
      <c r="E126" s="739"/>
      <c r="F126" s="739"/>
      <c r="G126" s="739"/>
      <c r="H126" s="739"/>
      <c r="I126" s="740"/>
    </row>
    <row r="127" spans="1:9" ht="12.75">
      <c r="A127" s="730" t="s">
        <v>179</v>
      </c>
      <c r="B127" s="731"/>
      <c r="C127" s="159" t="s">
        <v>180</v>
      </c>
      <c r="D127" s="159" t="s">
        <v>181</v>
      </c>
      <c r="E127" s="159" t="s">
        <v>45</v>
      </c>
      <c r="F127" s="159"/>
      <c r="G127" s="159"/>
      <c r="H127" s="148" t="s">
        <v>189</v>
      </c>
      <c r="I127" s="160" t="s">
        <v>186</v>
      </c>
    </row>
    <row r="128" spans="1:9" ht="15" customHeight="1">
      <c r="A128" s="742"/>
      <c r="B128" s="743"/>
      <c r="C128" s="156"/>
      <c r="D128" s="159"/>
      <c r="E128" s="159"/>
      <c r="F128" s="159"/>
      <c r="G128" s="159"/>
      <c r="H128" s="168"/>
      <c r="I128" s="150">
        <f>D128*H128</f>
        <v>0</v>
      </c>
    </row>
    <row r="129" spans="1:9" ht="15.75" customHeight="1">
      <c r="A129" s="728" t="s">
        <v>187</v>
      </c>
      <c r="B129" s="741"/>
      <c r="C129" s="741"/>
      <c r="D129" s="741"/>
      <c r="E129" s="741"/>
      <c r="F129" s="741"/>
      <c r="G129" s="741"/>
      <c r="H129" s="729"/>
      <c r="I129" s="163">
        <f>SUM(I128:I128)</f>
        <v>0</v>
      </c>
    </row>
    <row r="130" spans="1:9" ht="12.75">
      <c r="A130" s="738" t="s">
        <v>194</v>
      </c>
      <c r="B130" s="739"/>
      <c r="C130" s="739"/>
      <c r="D130" s="739"/>
      <c r="E130" s="739"/>
      <c r="F130" s="739"/>
      <c r="G130" s="739"/>
      <c r="H130" s="739"/>
      <c r="I130" s="740"/>
    </row>
    <row r="131" spans="1:9" ht="12.75">
      <c r="A131" s="738" t="s">
        <v>179</v>
      </c>
      <c r="B131" s="740"/>
      <c r="C131" s="148" t="s">
        <v>180</v>
      </c>
      <c r="D131" s="149" t="s">
        <v>181</v>
      </c>
      <c r="E131" s="149" t="s">
        <v>45</v>
      </c>
      <c r="F131" s="149"/>
      <c r="G131" s="149"/>
      <c r="H131" s="148" t="s">
        <v>189</v>
      </c>
      <c r="I131" s="148" t="s">
        <v>186</v>
      </c>
    </row>
    <row r="132" spans="1:9" ht="15" customHeight="1">
      <c r="A132" s="742"/>
      <c r="B132" s="743"/>
      <c r="C132" s="156"/>
      <c r="D132" s="153"/>
      <c r="E132" s="156"/>
      <c r="F132" s="155"/>
      <c r="G132" s="155"/>
      <c r="H132" s="164"/>
      <c r="I132" s="164">
        <f>D132*H132</f>
        <v>0</v>
      </c>
    </row>
    <row r="133" spans="1:9" ht="12.75">
      <c r="A133" s="751" t="s">
        <v>187</v>
      </c>
      <c r="B133" s="752"/>
      <c r="C133" s="752"/>
      <c r="D133" s="752"/>
      <c r="E133" s="752"/>
      <c r="F133" s="752"/>
      <c r="G133" s="752"/>
      <c r="H133" s="753"/>
      <c r="I133" s="165">
        <f>SUM(I132:I132)</f>
        <v>0</v>
      </c>
    </row>
    <row r="134" spans="1:9" ht="12.75">
      <c r="A134" s="728" t="s">
        <v>195</v>
      </c>
      <c r="B134" s="729"/>
      <c r="C134" s="166">
        <v>1</v>
      </c>
      <c r="D134" s="728" t="s">
        <v>196</v>
      </c>
      <c r="E134" s="741"/>
      <c r="F134" s="741"/>
      <c r="G134" s="741"/>
      <c r="H134" s="729"/>
      <c r="I134" s="151">
        <f>I133+I129+I125+I118</f>
        <v>70.511</v>
      </c>
    </row>
    <row r="135" spans="1:9" ht="12.75">
      <c r="A135" s="756" t="s">
        <v>197</v>
      </c>
      <c r="B135" s="757"/>
      <c r="C135" s="757"/>
      <c r="D135" s="757"/>
      <c r="E135" s="757"/>
      <c r="F135" s="757"/>
      <c r="G135" s="757"/>
      <c r="H135" s="758"/>
      <c r="I135" s="163">
        <f>I134/C134</f>
        <v>70.511</v>
      </c>
    </row>
    <row r="136" spans="1:9" ht="12.75">
      <c r="A136" s="756" t="s">
        <v>198</v>
      </c>
      <c r="B136" s="757"/>
      <c r="C136" s="757"/>
      <c r="D136" s="757"/>
      <c r="E136" s="757"/>
      <c r="F136" s="757"/>
      <c r="G136" s="757"/>
      <c r="H136" s="758"/>
      <c r="I136" s="163">
        <v>1</v>
      </c>
    </row>
    <row r="137" spans="1:9" ht="12.75">
      <c r="A137" s="863" t="s">
        <v>199</v>
      </c>
      <c r="B137" s="864"/>
      <c r="C137" s="864"/>
      <c r="D137" s="864"/>
      <c r="E137" s="864"/>
      <c r="F137" s="864"/>
      <c r="G137" s="864"/>
      <c r="H137" s="865"/>
      <c r="I137" s="169">
        <f>I135*I136</f>
        <v>70.511</v>
      </c>
    </row>
    <row r="138" spans="1:9" ht="12.75">
      <c r="A138" s="863" t="s">
        <v>199</v>
      </c>
      <c r="B138" s="864"/>
      <c r="C138" s="864"/>
      <c r="D138" s="864"/>
      <c r="E138" s="864"/>
      <c r="F138" s="864"/>
      <c r="G138" s="864"/>
      <c r="H138" s="865"/>
      <c r="I138" s="169">
        <f>I136*I137</f>
        <v>70.511</v>
      </c>
    </row>
    <row r="139" spans="1:9" ht="15" customHeight="1">
      <c r="A139" s="842" t="s">
        <v>297</v>
      </c>
      <c r="B139" s="843"/>
      <c r="C139" s="843"/>
      <c r="D139" s="843"/>
      <c r="E139" s="843"/>
      <c r="F139" s="843"/>
      <c r="G139" s="843"/>
      <c r="H139" s="843"/>
      <c r="I139" s="844"/>
    </row>
    <row r="140" spans="1:10" ht="15" customHeight="1">
      <c r="A140" s="845"/>
      <c r="B140" s="778"/>
      <c r="C140" s="778"/>
      <c r="D140" s="778"/>
      <c r="E140" s="778"/>
      <c r="F140" s="778"/>
      <c r="G140" s="778"/>
      <c r="H140" s="778"/>
      <c r="I140" s="846"/>
      <c r="J140" s="170"/>
    </row>
    <row r="141" spans="1:9" ht="12.75">
      <c r="A141" s="845"/>
      <c r="B141" s="778"/>
      <c r="C141" s="778"/>
      <c r="D141" s="778"/>
      <c r="E141" s="778"/>
      <c r="F141" s="778"/>
      <c r="G141" s="778"/>
      <c r="H141" s="778"/>
      <c r="I141" s="846"/>
    </row>
    <row r="142" spans="1:9" ht="12.75">
      <c r="A142" s="845"/>
      <c r="B142" s="778"/>
      <c r="C142" s="778"/>
      <c r="D142" s="778"/>
      <c r="E142" s="778"/>
      <c r="F142" s="778"/>
      <c r="G142" s="778"/>
      <c r="H142" s="778"/>
      <c r="I142" s="846"/>
    </row>
    <row r="143" spans="1:9" ht="12.75">
      <c r="A143" s="847"/>
      <c r="B143" s="848"/>
      <c r="C143" s="848"/>
      <c r="D143" s="848"/>
      <c r="E143" s="848"/>
      <c r="F143" s="848"/>
      <c r="G143" s="848"/>
      <c r="H143" s="848"/>
      <c r="I143" s="849"/>
    </row>
    <row r="144" spans="1:9" ht="15" customHeight="1">
      <c r="A144" s="842" t="s">
        <v>298</v>
      </c>
      <c r="B144" s="843"/>
      <c r="C144" s="843"/>
      <c r="D144" s="843"/>
      <c r="E144" s="843"/>
      <c r="F144" s="843"/>
      <c r="G144" s="843"/>
      <c r="H144" s="843"/>
      <c r="I144" s="844"/>
    </row>
    <row r="145" spans="1:10" ht="15" customHeight="1">
      <c r="A145" s="845"/>
      <c r="B145" s="778"/>
      <c r="C145" s="778"/>
      <c r="D145" s="778"/>
      <c r="E145" s="778"/>
      <c r="F145" s="778"/>
      <c r="G145" s="778"/>
      <c r="H145" s="778"/>
      <c r="I145" s="846"/>
      <c r="J145" s="170"/>
    </row>
    <row r="146" spans="1:9" ht="12.75">
      <c r="A146" s="845"/>
      <c r="B146" s="778"/>
      <c r="C146" s="778"/>
      <c r="D146" s="778"/>
      <c r="E146" s="778"/>
      <c r="F146" s="778"/>
      <c r="G146" s="778"/>
      <c r="H146" s="778"/>
      <c r="I146" s="846"/>
    </row>
    <row r="147" spans="1:9" ht="12.75">
      <c r="A147" s="845"/>
      <c r="B147" s="778"/>
      <c r="C147" s="778"/>
      <c r="D147" s="778"/>
      <c r="E147" s="778"/>
      <c r="F147" s="778"/>
      <c r="G147" s="778"/>
      <c r="H147" s="778"/>
      <c r="I147" s="846"/>
    </row>
    <row r="148" spans="1:9" ht="12.75">
      <c r="A148" s="847"/>
      <c r="B148" s="848"/>
      <c r="C148" s="848"/>
      <c r="D148" s="848"/>
      <c r="E148" s="848"/>
      <c r="F148" s="848"/>
      <c r="G148" s="848"/>
      <c r="H148" s="848"/>
      <c r="I148" s="849"/>
    </row>
  </sheetData>
  <sheetProtection/>
  <mergeCells count="147">
    <mergeCell ref="A138:H138"/>
    <mergeCell ref="A139:I143"/>
    <mergeCell ref="A136:H136"/>
    <mergeCell ref="A137:H137"/>
    <mergeCell ref="A128:B128"/>
    <mergeCell ref="A125:H125"/>
    <mergeCell ref="A126:I126"/>
    <mergeCell ref="A127:B127"/>
    <mergeCell ref="A129:H129"/>
    <mergeCell ref="A132:B132"/>
    <mergeCell ref="A119:I119"/>
    <mergeCell ref="A120:B120"/>
    <mergeCell ref="A121:B121"/>
    <mergeCell ref="A122:B122"/>
    <mergeCell ref="A123:B123"/>
    <mergeCell ref="A124:B124"/>
    <mergeCell ref="A113:G113"/>
    <mergeCell ref="A114:G114"/>
    <mergeCell ref="A115:I115"/>
    <mergeCell ref="A116:B116"/>
    <mergeCell ref="A117:B117"/>
    <mergeCell ref="A118:H118"/>
    <mergeCell ref="A108:H108"/>
    <mergeCell ref="A109:H109"/>
    <mergeCell ref="A110:H110"/>
    <mergeCell ref="A111:I111"/>
    <mergeCell ref="A112:B112"/>
    <mergeCell ref="C112:H112"/>
    <mergeCell ref="A103:I103"/>
    <mergeCell ref="A104:B104"/>
    <mergeCell ref="A105:B105"/>
    <mergeCell ref="A106:H106"/>
    <mergeCell ref="A107:B107"/>
    <mergeCell ref="D107:H107"/>
    <mergeCell ref="A97:H97"/>
    <mergeCell ref="A98:I98"/>
    <mergeCell ref="A99:B99"/>
    <mergeCell ref="A100:B100"/>
    <mergeCell ref="A101:B101"/>
    <mergeCell ref="A102:H102"/>
    <mergeCell ref="A91:I91"/>
    <mergeCell ref="A92:B92"/>
    <mergeCell ref="A93:B93"/>
    <mergeCell ref="A94:B94"/>
    <mergeCell ref="A95:B95"/>
    <mergeCell ref="A96:B96"/>
    <mergeCell ref="A85:G85"/>
    <mergeCell ref="A86:G86"/>
    <mergeCell ref="A87:I87"/>
    <mergeCell ref="A88:B88"/>
    <mergeCell ref="A89:B89"/>
    <mergeCell ref="A90:H90"/>
    <mergeCell ref="A80:H80"/>
    <mergeCell ref="A81:H81"/>
    <mergeCell ref="A82:H82"/>
    <mergeCell ref="A83:I83"/>
    <mergeCell ref="A84:B84"/>
    <mergeCell ref="C84:H84"/>
    <mergeCell ref="A75:I75"/>
    <mergeCell ref="A76:B76"/>
    <mergeCell ref="A77:B77"/>
    <mergeCell ref="A78:H78"/>
    <mergeCell ref="A79:B79"/>
    <mergeCell ref="D79:H79"/>
    <mergeCell ref="A69:H69"/>
    <mergeCell ref="A70:I70"/>
    <mergeCell ref="A71:B71"/>
    <mergeCell ref="A72:B72"/>
    <mergeCell ref="A73:B73"/>
    <mergeCell ref="A74:H74"/>
    <mergeCell ref="A63:I63"/>
    <mergeCell ref="A64:B64"/>
    <mergeCell ref="A65:B65"/>
    <mergeCell ref="A66:B66"/>
    <mergeCell ref="A67:B67"/>
    <mergeCell ref="A68:B68"/>
    <mergeCell ref="A57:G57"/>
    <mergeCell ref="A58:G58"/>
    <mergeCell ref="A59:I59"/>
    <mergeCell ref="A60:B60"/>
    <mergeCell ref="A61:B61"/>
    <mergeCell ref="A62:H62"/>
    <mergeCell ref="A52:H52"/>
    <mergeCell ref="A53:H53"/>
    <mergeCell ref="A54:H54"/>
    <mergeCell ref="A55:I55"/>
    <mergeCell ref="A56:B56"/>
    <mergeCell ref="C56:H56"/>
    <mergeCell ref="A46:H46"/>
    <mergeCell ref="A47:I47"/>
    <mergeCell ref="A48:B48"/>
    <mergeCell ref="A49:B49"/>
    <mergeCell ref="A50:H50"/>
    <mergeCell ref="A51:B51"/>
    <mergeCell ref="D51:H51"/>
    <mergeCell ref="A39:B39"/>
    <mergeCell ref="A40:B40"/>
    <mergeCell ref="A41:B41"/>
    <mergeCell ref="A42:H42"/>
    <mergeCell ref="A43:I43"/>
    <mergeCell ref="A44:B44"/>
    <mergeCell ref="A33:B33"/>
    <mergeCell ref="A34:B34"/>
    <mergeCell ref="A35:H35"/>
    <mergeCell ref="A36:I36"/>
    <mergeCell ref="A37:B37"/>
    <mergeCell ref="A38:B38"/>
    <mergeCell ref="A28:I28"/>
    <mergeCell ref="A29:B29"/>
    <mergeCell ref="C29:H29"/>
    <mergeCell ref="A30:G30"/>
    <mergeCell ref="A31:G31"/>
    <mergeCell ref="A32:I32"/>
    <mergeCell ref="A23:H23"/>
    <mergeCell ref="A24:B24"/>
    <mergeCell ref="D24:H24"/>
    <mergeCell ref="A25:H25"/>
    <mergeCell ref="A26:H26"/>
    <mergeCell ref="A27:H27"/>
    <mergeCell ref="A16:B16"/>
    <mergeCell ref="A18:H18"/>
    <mergeCell ref="A19:I19"/>
    <mergeCell ref="A20:B20"/>
    <mergeCell ref="A21:B21"/>
    <mergeCell ref="A22:B22"/>
    <mergeCell ref="A10:I10"/>
    <mergeCell ref="A11:B11"/>
    <mergeCell ref="A12:B12"/>
    <mergeCell ref="A13:B13"/>
    <mergeCell ref="A14:H14"/>
    <mergeCell ref="A15:I15"/>
    <mergeCell ref="A144:I148"/>
    <mergeCell ref="A2:I2"/>
    <mergeCell ref="A3:B3"/>
    <mergeCell ref="C3:H3"/>
    <mergeCell ref="A4:G4"/>
    <mergeCell ref="A5:G5"/>
    <mergeCell ref="A6:I6"/>
    <mergeCell ref="A7:B7"/>
    <mergeCell ref="A8:B8"/>
    <mergeCell ref="A9:H9"/>
    <mergeCell ref="A130:I130"/>
    <mergeCell ref="A131:B131"/>
    <mergeCell ref="A133:H133"/>
    <mergeCell ref="A134:B134"/>
    <mergeCell ref="D134:H134"/>
    <mergeCell ref="A135:H13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  <rowBreaks count="2" manualBreakCount="2">
    <brk id="54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Nádia Souza</cp:lastModifiedBy>
  <cp:lastPrinted>2020-03-03T20:12:29Z</cp:lastPrinted>
  <dcterms:created xsi:type="dcterms:W3CDTF">1998-10-30T18:34:56Z</dcterms:created>
  <dcterms:modified xsi:type="dcterms:W3CDTF">2020-03-16T16:38:50Z</dcterms:modified>
  <cp:category/>
  <cp:version/>
  <cp:contentType/>
  <cp:contentStatus/>
</cp:coreProperties>
</file>